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445" windowHeight="4605" tabRatio="911" activeTab="2"/>
  </bookViews>
  <sheets>
    <sheet name="Con B&amp;S" sheetId="1" r:id="rId1"/>
    <sheet name="Con P&amp;L" sheetId="2" r:id="rId2"/>
    <sheet name="KLSE PL" sheetId="3" r:id="rId3"/>
    <sheet name="KLSE BS" sheetId="4" r:id="rId4"/>
    <sheet name="KLSE Notes" sheetId="5" r:id="rId5"/>
  </sheets>
  <externalReferences>
    <externalReference r:id="rId8"/>
    <externalReference r:id="rId9"/>
  </externalReferences>
  <definedNames>
    <definedName name="\c">'Con P&amp;L'!#REF!</definedName>
    <definedName name="\f" localSheetId="1">'Con P&amp;L'!#REF!</definedName>
    <definedName name="\f">'Con B&amp;S'!#REF!</definedName>
    <definedName name="\p">'Con P&amp;L'!#REF!</definedName>
    <definedName name="_Regression_Int" localSheetId="0" hidden="1">1</definedName>
    <definedName name="_Regression_Int" localSheetId="1" hidden="1">1</definedName>
    <definedName name="DATE">'[1]TB'!#REF!</definedName>
    <definedName name="PL">'Con P&amp;L'!$A$1:$BL$54</definedName>
    <definedName name="_xlnm.Print_Area" localSheetId="0">'Con B&amp;S'!$A$1:$BM$69</definedName>
    <definedName name="_xlnm.Print_Area" localSheetId="1">'Con P&amp;L'!$A$1:$BL$50</definedName>
    <definedName name="_xlnm.Print_Area" localSheetId="3">'KLSE BS'!$B$1:$G$63</definedName>
    <definedName name="_xlnm.Print_Area" localSheetId="4">'KLSE Notes'!$A$1:$L$147</definedName>
    <definedName name="_xlnm.Print_Area" localSheetId="2">'KLSE PL'!$A$1:$J$115</definedName>
    <definedName name="Print_Area_MI" localSheetId="1">'Con P&amp;L'!$A$1:$I$54</definedName>
    <definedName name="Print_Area_MI">'Con B&amp;S'!$AC$1:$BM$68</definedName>
    <definedName name="SCHEDULE">'Con P&amp;L'!$A$64:$BL$108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AUSTRAL </author>
    <author>PwC</author>
  </authors>
  <commentList>
    <comment ref="AE53" authorId="0">
      <text>
        <r>
          <rPr>
            <sz val="8"/>
            <rFont val="Tahoma"/>
            <family val="0"/>
          </rPr>
          <t xml:space="preserve">Danau Kota Development Sdn Bhd
</t>
        </r>
      </text>
    </comment>
    <comment ref="T53" authorId="0">
      <text>
        <r>
          <rPr>
            <sz val="8"/>
            <rFont val="Tahoma"/>
            <family val="0"/>
          </rPr>
          <t xml:space="preserve">Austral Amalgamated Assets Sdn Bhd
</t>
        </r>
      </text>
    </comment>
    <comment ref="AN53" authorId="0">
      <text>
        <r>
          <rPr>
            <sz val="8"/>
            <rFont val="Tahoma"/>
            <family val="0"/>
          </rPr>
          <t xml:space="preserve">Austral Amalgamated Assets Sdn Bhd
</t>
        </r>
      </text>
    </comment>
    <comment ref="AO53" authorId="0">
      <text>
        <r>
          <rPr>
            <sz val="8"/>
            <rFont val="Tahoma"/>
            <family val="0"/>
          </rPr>
          <t xml:space="preserve">Likas View Sdn Bhd
</t>
        </r>
      </text>
    </comment>
    <comment ref="BJ53" authorId="0">
      <text>
        <r>
          <rPr>
            <sz val="8"/>
            <rFont val="Tahoma"/>
            <family val="0"/>
          </rPr>
          <t xml:space="preserve">Iras Prima Sdn Bhd
</t>
        </r>
      </text>
    </comment>
    <comment ref="V26" authorId="0">
      <text>
        <r>
          <rPr>
            <sz val="8"/>
            <rFont val="Tahoma"/>
            <family val="0"/>
          </rPr>
          <t xml:space="preserve">draft audit shows
21,528,929
</t>
        </r>
      </text>
    </comment>
    <comment ref="AV35" authorId="1">
      <text>
        <r>
          <rPr>
            <b/>
            <sz val="10"/>
            <rFont val="Tahoma"/>
            <family val="0"/>
          </rPr>
          <t>PwC:</t>
        </r>
        <r>
          <rPr>
            <sz val="10"/>
            <rFont val="Tahoma"/>
            <family val="0"/>
          </rPr>
          <t xml:space="preserve">
Deferred exp</t>
        </r>
      </text>
    </comment>
  </commentList>
</comments>
</file>

<file path=xl/comments2.xml><?xml version="1.0" encoding="utf-8"?>
<comments xmlns="http://schemas.openxmlformats.org/spreadsheetml/2006/main">
  <authors>
    <author>AUSTRAL </author>
  </authors>
  <commentList>
    <comment ref="Q8" authorId="0">
      <text>
        <r>
          <rPr>
            <sz val="8"/>
            <rFont val="Tahoma"/>
            <family val="0"/>
          </rPr>
          <t xml:space="preserve">Mr. Chow's a/c shows a turnover of 17,195,297.  It would be confusing to show here because the cost of sales is not shown and these figures were not shown in last quarter.
</t>
        </r>
      </text>
    </comment>
  </commentList>
</comments>
</file>

<file path=xl/sharedStrings.xml><?xml version="1.0" encoding="utf-8"?>
<sst xmlns="http://schemas.openxmlformats.org/spreadsheetml/2006/main" count="1337" uniqueCount="488">
  <si>
    <t>SCHEDULES TO  THE PROFIT AND LOSS ACCOUNTS</t>
  </si>
  <si>
    <t>INCOME</t>
  </si>
  <si>
    <t>Bad Debts Recovered</t>
  </si>
  <si>
    <t>Cash Discounts Received</t>
  </si>
  <si>
    <t>Dividend Received</t>
  </si>
  <si>
    <t>Gain/(Loss) On Disposal Of Fixed Assets</t>
  </si>
  <si>
    <t>Gain/(Loss) On Foreign Exchange</t>
  </si>
  <si>
    <t>Interest Received</t>
  </si>
  <si>
    <t>Management Fee/Admin Charges</t>
  </si>
  <si>
    <t>Rental Received</t>
  </si>
  <si>
    <t>Sundry Income</t>
  </si>
  <si>
    <t>EXPENSES</t>
  </si>
  <si>
    <t>Salaries</t>
  </si>
  <si>
    <t>General &amp; Administrative</t>
  </si>
  <si>
    <t>Finance Charges</t>
  </si>
  <si>
    <t>Bad &amp; Doubtful Debts</t>
  </si>
  <si>
    <t>Consol B/S vs Consol P/L unappropriated profits b/f</t>
  </si>
  <si>
    <t>Investment &amp; Other Income</t>
  </si>
  <si>
    <t>LEASE &amp; HP RECEIVABLES</t>
  </si>
  <si>
    <t>Dormant Co 2</t>
  </si>
  <si>
    <t>Dormant Co 1</t>
  </si>
  <si>
    <t>HOLDING Co</t>
  </si>
  <si>
    <t>AAB</t>
  </si>
  <si>
    <t xml:space="preserve">     Share Capital</t>
  </si>
  <si>
    <t xml:space="preserve">     Reserve on Exchange Fluctuation</t>
  </si>
  <si>
    <t xml:space="preserve">     Capital Reserve/Change in Group</t>
  </si>
  <si>
    <t xml:space="preserve">     Reserve on Consolidation</t>
  </si>
  <si>
    <t xml:space="preserve">     Revenue Reserve</t>
  </si>
  <si>
    <t xml:space="preserve">     Property Development Expenditure</t>
  </si>
  <si>
    <t xml:space="preserve">     Stocks</t>
  </si>
  <si>
    <t xml:space="preserve">     Trade debtors</t>
  </si>
  <si>
    <t xml:space="preserve">     Other debtors &amp; prepayments</t>
  </si>
  <si>
    <t xml:space="preserve">     Amount owing by holding company</t>
  </si>
  <si>
    <t xml:space="preserve">     Amount owing by subsidiary companies</t>
  </si>
  <si>
    <t xml:space="preserve">     Amount owing by related companies</t>
  </si>
  <si>
    <t xml:space="preserve">     Amount owing by associated companies</t>
  </si>
  <si>
    <t xml:space="preserve">     Fixed deposit</t>
  </si>
  <si>
    <t>(AUD)</t>
  </si>
  <si>
    <t>RATE</t>
  </si>
  <si>
    <t>(RM)</t>
  </si>
  <si>
    <t xml:space="preserve">     Cash &amp; bank balances</t>
  </si>
  <si>
    <t xml:space="preserve">     Deferred Taxation</t>
  </si>
  <si>
    <t xml:space="preserve">     Advances from Related parties</t>
  </si>
  <si>
    <t xml:space="preserve">     Progress payments on uncompleted contracts</t>
  </si>
  <si>
    <t xml:space="preserve">        Less:</t>
  </si>
  <si>
    <t xml:space="preserve">     Contract work-in-progress</t>
  </si>
  <si>
    <t xml:space="preserve">     Trade creditors</t>
  </si>
  <si>
    <t xml:space="preserve">     Other creditors &amp; accruals</t>
  </si>
  <si>
    <t xml:space="preserve">     Term Loans</t>
  </si>
  <si>
    <t xml:space="preserve">     Hire purchase &amp; Lease Creditors</t>
  </si>
  <si>
    <t xml:space="preserve">     EXCEPTIONAL ITEM</t>
  </si>
  <si>
    <t xml:space="preserve">     Amount owing to holding company</t>
  </si>
  <si>
    <t xml:space="preserve">     Amount owing to subsidiary companies</t>
  </si>
  <si>
    <t xml:space="preserve">     Amount owing to related companies</t>
  </si>
  <si>
    <t xml:space="preserve">     Amount owing to associated companies</t>
  </si>
  <si>
    <t xml:space="preserve">     Bills payable</t>
  </si>
  <si>
    <t xml:space="preserve">     Taxation</t>
  </si>
  <si>
    <t xml:space="preserve">     Bank overdrafts</t>
  </si>
  <si>
    <t xml:space="preserve">     Dividend payable (net)</t>
  </si>
  <si>
    <t xml:space="preserve">     Add/(Less):</t>
  </si>
  <si>
    <t xml:space="preserve">     PRIOR YEAR CONSOLIDATION DIFFERENCE</t>
  </si>
  <si>
    <t xml:space="preserve">     SHARE IN RESULTS OF AN ASSOCIATED COMPANY</t>
  </si>
  <si>
    <t xml:space="preserve">     Less : TAXATION</t>
  </si>
  <si>
    <t xml:space="preserve">     Less : MINORITY INTERESTS</t>
  </si>
  <si>
    <t xml:space="preserve">     Add  :</t>
  </si>
  <si>
    <t xml:space="preserve">     EXTRAORDINARY ITEM</t>
  </si>
  <si>
    <t>(RM'000)</t>
  </si>
  <si>
    <t>dividends, if any (sen) :</t>
  </si>
  <si>
    <t xml:space="preserve">Net tangible asset backing per ordinary </t>
  </si>
  <si>
    <t>share (RM)</t>
  </si>
  <si>
    <t>There were no profits derived from the sale of investments and investment properties.</t>
  </si>
  <si>
    <t>Segmental Reporting</t>
  </si>
  <si>
    <t>Profit b4 tax</t>
  </si>
  <si>
    <t>Profit/(Loss) before taxation,</t>
  </si>
  <si>
    <t>minority interests</t>
  </si>
  <si>
    <t>of consolidation as compared with those used in the preparation of the most recent annual financial statements.</t>
  </si>
  <si>
    <t>Accounting Policies</t>
  </si>
  <si>
    <t>Current Year</t>
  </si>
  <si>
    <t>Quarter</t>
  </si>
  <si>
    <t>Cumulated Quarter</t>
  </si>
  <si>
    <t>Current Year to date</t>
  </si>
  <si>
    <t xml:space="preserve">In respect of investment holding  -Writeback of Provision for doubtful debt </t>
  </si>
  <si>
    <t>Extraordinary Items</t>
  </si>
  <si>
    <t>Current Taxation</t>
  </si>
  <si>
    <t>Under/(over) provision in prior year</t>
  </si>
  <si>
    <t>Changes in the Composition of the Group</t>
  </si>
  <si>
    <t>Status of Corporate Proposals</t>
  </si>
  <si>
    <t>There was no purchase or disposal of quoted securities in the year to date.</t>
  </si>
  <si>
    <t>Seasonal or Cyclical Factors</t>
  </si>
  <si>
    <t>There was no significant seasonal or cycles factors affecting operations of our group .</t>
  </si>
  <si>
    <t>Corporate Developments</t>
  </si>
  <si>
    <t>There were no issuance or repayment of debt and equity securities, share buybacks, share cancellations, shares held as treasury</t>
  </si>
  <si>
    <t>Group borrowings</t>
  </si>
  <si>
    <t>All the group borrowings are denominated in Ringgit Malaysia.</t>
  </si>
  <si>
    <t>The group borrowings included Hire Purchase and Leasing</t>
  </si>
  <si>
    <t xml:space="preserve">Contingent Liabilities </t>
  </si>
  <si>
    <t>Financial Instruments with Off Balance Sheet Risk</t>
  </si>
  <si>
    <t>There are no financial instruments with off balance sheet risk as at the date of issue of this announcement.</t>
  </si>
  <si>
    <t>Pending material litigation</t>
  </si>
  <si>
    <t>Segmental information</t>
  </si>
  <si>
    <t>Variance on Forecast Profit</t>
  </si>
  <si>
    <t>Term Loan</t>
  </si>
  <si>
    <t>NIL</t>
  </si>
  <si>
    <t>Unsecured borrowings</t>
  </si>
  <si>
    <t>DKD - BBMB</t>
  </si>
  <si>
    <t>BZ Enterprise</t>
  </si>
  <si>
    <t xml:space="preserve">          Ban Hin Lee</t>
  </si>
  <si>
    <t xml:space="preserve">          OCBC</t>
  </si>
  <si>
    <t>AAB ' MBB</t>
  </si>
  <si>
    <t>AAB's BSNMB</t>
  </si>
  <si>
    <t>AAB's Phileo</t>
  </si>
  <si>
    <t xml:space="preserve">All litigation has been held in abeyance in view of having obtained the Restraining Order and the appointment of Special </t>
  </si>
  <si>
    <t>All contingent liabilities have crystallised since having obtained the Restraining Order.  All liabilities are no longer contingent.</t>
  </si>
  <si>
    <t>In respect of the losses, the company continued to incur these losses from interest charged on outstanding loans other than normal</t>
  </si>
  <si>
    <t>operating overheads.</t>
  </si>
  <si>
    <t>The profit forecast are presently under review of the Special Administrator in line with their efforts to restructure the Group.</t>
  </si>
  <si>
    <t>Dividend</t>
  </si>
  <si>
    <t>The Company has deferred an announcement on dividends pending the completion of the restructuring exercise.</t>
  </si>
  <si>
    <t>UNAUDITED CONSOLIDATED BALANCE SHEET</t>
  </si>
  <si>
    <t>UNAUDITED CONSOLIDATED INCOME STATEMENT</t>
  </si>
  <si>
    <t>Material Changes in Quarterly Results compared to the Results of the Preceding Years' Quarter</t>
  </si>
  <si>
    <t xml:space="preserve">Presently, the Special Administrators are conducting a review of the Group's activities with the intention of restructuring </t>
  </si>
  <si>
    <t xml:space="preserve">     EXCHANGE DIFFERENCE ON CONSOLIDATION</t>
  </si>
  <si>
    <t xml:space="preserve">     Less :  APPROPRIATION</t>
  </si>
  <si>
    <t xml:space="preserve">                 CAPITALISATION FOR BONUS ISSUE</t>
  </si>
  <si>
    <t xml:space="preserve">                 LISTING EXPENSES</t>
  </si>
  <si>
    <t xml:space="preserve">                 DIVIDENDS</t>
  </si>
  <si>
    <t xml:space="preserve">                 SUB-TOTAL</t>
  </si>
  <si>
    <t>Appendix 1</t>
  </si>
  <si>
    <t>Appendix 2</t>
  </si>
  <si>
    <t>Likas Square</t>
  </si>
  <si>
    <t>Merger Reserve</t>
  </si>
  <si>
    <t>Reserve on Consolidation Reserve</t>
  </si>
  <si>
    <t>Revaluation Surplus Reserve</t>
  </si>
  <si>
    <t>ANNOUNCEMENT TO KLSE  - 4TH QUARTER (FOR FINANCIAL YEAR ENDING 30TH JUNE 2000)</t>
  </si>
  <si>
    <t>30.06.00</t>
  </si>
  <si>
    <t>There was no extraordinary item for the fourth quarter and the financial year ended 30th June 2000.</t>
  </si>
  <si>
    <t>Group borrowings and debt securities as at 30th June 2000 are as follows:</t>
  </si>
  <si>
    <t>The fourth quarter financial statements have been prepared using the same accounting policies, method of computation and basis</t>
  </si>
  <si>
    <t>Pasar Ria</t>
  </si>
  <si>
    <t>Pasariya</t>
  </si>
  <si>
    <t>* 30/06/2000</t>
  </si>
  <si>
    <t>4TH QUARTER</t>
  </si>
  <si>
    <t>(EXTRACTED FROM 31.3.00 ANNOUNCEMENT,</t>
  </si>
  <si>
    <t>REFER TO FILE: AAB Consol 03.2000)</t>
  </si>
  <si>
    <t>Property Development Expenditure</t>
  </si>
  <si>
    <t>Stocks</t>
  </si>
  <si>
    <t>Tours &amp; Travel</t>
  </si>
  <si>
    <t xml:space="preserve">     Amount owing to Ultimate holding company</t>
  </si>
  <si>
    <t xml:space="preserve">     Amount owing to Holding company</t>
  </si>
  <si>
    <t>The effective rate of taxation of the Group is 28%.</t>
  </si>
  <si>
    <t>We advise that though valuations were conducted for the audit of the accounts for the year ended 30th June 1999, it is likely that the</t>
  </si>
  <si>
    <t>Presently, the Special Administrators are conducting a review of the Group's activities with the intention of restructuring the Group.</t>
  </si>
  <si>
    <t>-Chong Chin Siew Holdings Sdn Bhd (Investment Holding Company with a principal subsidiary involved in licenced leasing</t>
  </si>
  <si>
    <t xml:space="preserve">  business).</t>
  </si>
  <si>
    <t>-Teong Hoe Holding Sdn Bhd (Investment Holding Company with a principal subsidiary involved in property development)</t>
  </si>
  <si>
    <t>- Forad Management Sdn Bhd (Investment holding and management services company)</t>
  </si>
  <si>
    <t>-Dato' Tan Kok Hwa</t>
  </si>
  <si>
    <t>-Tong Yoong Fatt; and</t>
  </si>
  <si>
    <t>-Furqan Business Organisation Berhad ("Furqan")</t>
  </si>
  <si>
    <t>creditors, for approval (as required by the Danaharta Act).  The workout proposal will address the restructuring of the debts due to</t>
  </si>
  <si>
    <t>the creditors of AAB through the injection of new assets by the New Investors via a newly incorporated company, Furqan, and will</t>
  </si>
  <si>
    <t>entail the transfer of the listing status of AAB to Furqan, with the approval of the Kuala Lumpur Stock Exchange.</t>
  </si>
  <si>
    <t>SHARE CAPITAL</t>
  </si>
  <si>
    <t>MAXIMUM  SHARE OF LOSS FOR MI</t>
  </si>
  <si>
    <t>YTD TO</t>
  </si>
  <si>
    <t xml:space="preserve">LAST </t>
  </si>
  <si>
    <t>CURRENT</t>
  </si>
  <si>
    <t>PERIOD TO LAST</t>
  </si>
  <si>
    <t xml:space="preserve"> QUARTER</t>
  </si>
  <si>
    <t>30.09.1999</t>
  </si>
  <si>
    <t xml:space="preserve">                 YEAR TO DATE</t>
  </si>
  <si>
    <t xml:space="preserve">            YTD TO LAST QTR</t>
  </si>
  <si>
    <t xml:space="preserve">              CURR. QUARTER</t>
  </si>
  <si>
    <t>Minority Interest</t>
  </si>
  <si>
    <t>Fixed Assets</t>
  </si>
  <si>
    <t>Investment in Associated Companies</t>
  </si>
  <si>
    <t>Long Term Investments</t>
  </si>
  <si>
    <t>Intangible Assets</t>
  </si>
  <si>
    <t>Trade Debtors</t>
  </si>
  <si>
    <t>Short Term Investments</t>
  </si>
  <si>
    <t>AS AT</t>
  </si>
  <si>
    <t>END OF</t>
  </si>
  <si>
    <t xml:space="preserve">CURRENT </t>
  </si>
  <si>
    <t>PRECEDING</t>
  </si>
  <si>
    <t>FINANCIAL</t>
  </si>
  <si>
    <t>YEAR END</t>
  </si>
  <si>
    <t>Cash</t>
  </si>
  <si>
    <t>Others</t>
  </si>
  <si>
    <t xml:space="preserve">Others </t>
  </si>
  <si>
    <t>Current Liabilities</t>
  </si>
  <si>
    <t>Short Term Borrowings</t>
  </si>
  <si>
    <t>Net Current Assets or Current Liabilities</t>
  </si>
  <si>
    <t>Shareholders' Funds</t>
  </si>
  <si>
    <t>Reserves</t>
  </si>
  <si>
    <t>Share Premium</t>
  </si>
  <si>
    <t>Revaluation Reserve</t>
  </si>
  <si>
    <t>Statutory Reserve</t>
  </si>
  <si>
    <t>Net tangible assets</t>
  </si>
  <si>
    <t>Lease and Hire Purchase Recevables</t>
  </si>
  <si>
    <t>Other Debtors, deposits and Prepayments</t>
  </si>
  <si>
    <t xml:space="preserve">Other Long Term Liabilities - deferred tax </t>
  </si>
  <si>
    <t>NOTES</t>
  </si>
  <si>
    <t>Exceptional Items</t>
  </si>
  <si>
    <t>shares and resale of treasury shares for the current financial year to date.</t>
  </si>
  <si>
    <t>Secured Borrowings</t>
  </si>
  <si>
    <t>Unsecured Borrowings</t>
  </si>
  <si>
    <t>Long Term</t>
  </si>
  <si>
    <t>Short Term</t>
  </si>
  <si>
    <t>Property Development</t>
  </si>
  <si>
    <t>Tour &amp; Travel Agent</t>
  </si>
  <si>
    <t>Financial services</t>
  </si>
  <si>
    <t>Profit/(Loss) before Taxation</t>
  </si>
  <si>
    <t>Total Assets Employed</t>
  </si>
  <si>
    <t>Investment holding</t>
  </si>
  <si>
    <t>Review of performance</t>
  </si>
  <si>
    <t>Commentary on current year prospect</t>
  </si>
  <si>
    <t>There were no pre-acquisition profits for the year to date.</t>
  </si>
  <si>
    <t xml:space="preserve">Operating profit/(loss) after </t>
  </si>
  <si>
    <t>interest on borrowings,</t>
  </si>
  <si>
    <t xml:space="preserve">depreciation and </t>
  </si>
  <si>
    <t>amortisation and</t>
  </si>
  <si>
    <t>exceptional items but</t>
  </si>
  <si>
    <t xml:space="preserve">before income tax and </t>
  </si>
  <si>
    <t>extraordinary items</t>
  </si>
  <si>
    <t>Share in the results of</t>
  </si>
  <si>
    <t>associated companies</t>
  </si>
  <si>
    <t>before deducting minority interests</t>
  </si>
  <si>
    <t>(h)</t>
  </si>
  <si>
    <t>and extraordinary items</t>
  </si>
  <si>
    <t>Profit/(loss) after taxation</t>
  </si>
  <si>
    <t>(j)</t>
  </si>
  <si>
    <t>(k)</t>
  </si>
  <si>
    <t>(l)</t>
  </si>
  <si>
    <t xml:space="preserve">Profit/(Loss) after taxation </t>
  </si>
  <si>
    <t>attributable to members of the company</t>
  </si>
  <si>
    <t>Financial Result Announcement</t>
  </si>
  <si>
    <t>(if applicable)</t>
  </si>
  <si>
    <t>*</t>
  </si>
  <si>
    <t xml:space="preserve">* </t>
  </si>
  <si>
    <t xml:space="preserve">Financial Year End : </t>
  </si>
  <si>
    <t>Quarter                   :</t>
  </si>
  <si>
    <t>Quarterly report on consolidated results for the financial period ended</t>
  </si>
  <si>
    <t>Earnings in per share</t>
  </si>
  <si>
    <t>based on 2(j) above after deducting</t>
  </si>
  <si>
    <t xml:space="preserve">any provision for preference </t>
  </si>
  <si>
    <t>Basic (based on ordinary shares (sen)</t>
  </si>
  <si>
    <t>Fully diluted (based on ordinary shares -sen)</t>
  </si>
  <si>
    <t>Dividend per share (sen)</t>
  </si>
  <si>
    <t>Dividend description</t>
  </si>
  <si>
    <t>AS AT END OF CURRENT QUARTER</t>
  </si>
  <si>
    <t>Remark:</t>
  </si>
  <si>
    <t>O Qtr 1</t>
  </si>
  <si>
    <t>O Qtr 2</t>
  </si>
  <si>
    <t>O Qtr 3</t>
  </si>
  <si>
    <t>O Qtr 4</t>
  </si>
  <si>
    <t>O Other</t>
  </si>
  <si>
    <t xml:space="preserve">* The figures  </t>
  </si>
  <si>
    <t xml:space="preserve">O have been audited </t>
  </si>
  <si>
    <t>O have not been audited</t>
  </si>
  <si>
    <t>30/06/2000</t>
  </si>
  <si>
    <t xml:space="preserve">AS AT PRECEDING FINANCIAL YEAR </t>
  </si>
  <si>
    <t>END</t>
  </si>
  <si>
    <t>Provision for Taxation</t>
  </si>
  <si>
    <t>PROFIT AND LOSS ACCOUNT OF ASSOCIATE COMPANY</t>
  </si>
  <si>
    <t xml:space="preserve">         Loan interest</t>
  </si>
  <si>
    <t xml:space="preserve">     Loan Interest</t>
  </si>
  <si>
    <t xml:space="preserve">      Depreciation</t>
  </si>
  <si>
    <t xml:space="preserve">       Loan Interest</t>
  </si>
  <si>
    <t xml:space="preserve">       Depreciation</t>
  </si>
  <si>
    <t xml:space="preserve">            BBMB OD</t>
  </si>
  <si>
    <t>Other Creditors</t>
  </si>
  <si>
    <t xml:space="preserve">Extraordinary Item attributable to </t>
  </si>
  <si>
    <t>1.</t>
  </si>
  <si>
    <t>(a)</t>
  </si>
  <si>
    <t>Turnover</t>
  </si>
  <si>
    <t>(b)</t>
  </si>
  <si>
    <t>2.</t>
  </si>
  <si>
    <t>(c)</t>
  </si>
  <si>
    <t>(d)</t>
  </si>
  <si>
    <t>(i)</t>
  </si>
  <si>
    <t>(ii)</t>
  </si>
  <si>
    <t>Less: Minority Interest</t>
  </si>
  <si>
    <t>(e)</t>
  </si>
  <si>
    <t xml:space="preserve">attributable to the members of the </t>
  </si>
  <si>
    <t>Company</t>
  </si>
  <si>
    <t>(f)</t>
  </si>
  <si>
    <t>(iii)</t>
  </si>
  <si>
    <t>members of the Company</t>
  </si>
  <si>
    <t>(g)</t>
  </si>
  <si>
    <t>3.</t>
  </si>
  <si>
    <t xml:space="preserve">BZ  </t>
  </si>
  <si>
    <t>4.</t>
  </si>
  <si>
    <t>Loan Interest</t>
  </si>
  <si>
    <t xml:space="preserve">     AAB</t>
  </si>
  <si>
    <t xml:space="preserve">     DKD</t>
  </si>
  <si>
    <t xml:space="preserve">      PVSB</t>
  </si>
  <si>
    <t>Trade Creditors</t>
  </si>
  <si>
    <t>Capital Reserve</t>
  </si>
  <si>
    <t xml:space="preserve">Submitting Merchant Bank                   </t>
  </si>
  <si>
    <t xml:space="preserve">Submitting Secretarial Firm Name         </t>
  </si>
  <si>
    <t xml:space="preserve">Company name                                    </t>
  </si>
  <si>
    <t xml:space="preserve">Stock name                                         </t>
  </si>
  <si>
    <t xml:space="preserve">Stock code                                          </t>
  </si>
  <si>
    <t xml:space="preserve">Contact person                                    </t>
  </si>
  <si>
    <t xml:space="preserve">Designation                                         </t>
  </si>
  <si>
    <t>: AUSTRAL AMALGAMATED BERHAD</t>
  </si>
  <si>
    <t>: A AMAL</t>
  </si>
  <si>
    <t>: 2097</t>
  </si>
  <si>
    <t>:</t>
  </si>
  <si>
    <t>Investment Income</t>
  </si>
  <si>
    <t>Other Income including interest income</t>
  </si>
  <si>
    <t>INDIVIDUAL PERIOD</t>
  </si>
  <si>
    <t>CURRENT YEAR</t>
  </si>
  <si>
    <t>QUARTER</t>
  </si>
  <si>
    <t>PRECEDING YEAR</t>
  </si>
  <si>
    <t>CORRESPONDING</t>
  </si>
  <si>
    <t>CUMULATIVE PERIOD</t>
  </si>
  <si>
    <t>TO DATE</t>
  </si>
  <si>
    <t>PERIOD</t>
  </si>
  <si>
    <t>Operating profit/(loss)</t>
  </si>
  <si>
    <t xml:space="preserve">before interest on borrowings, </t>
  </si>
  <si>
    <t>depreciation and amortisation</t>
  </si>
  <si>
    <t xml:space="preserve">exceptional items, income tax, minority </t>
  </si>
  <si>
    <t>interests and extraordinary items</t>
  </si>
  <si>
    <t>Less interest on borrowings</t>
  </si>
  <si>
    <t>Less depreciation and amortisation</t>
  </si>
  <si>
    <t>Exceptional items</t>
  </si>
  <si>
    <t>AUSTRAL AMALGAMATED BERHAD</t>
  </si>
  <si>
    <t>GROUP BALANCE SHEET</t>
  </si>
  <si>
    <t>BALANCE SHEETS OF WHOLLY-OWNED SUBSIDIARIES (Active &amp; Semi Active)</t>
  </si>
  <si>
    <t>BALANCE SHEETS OF WHOLLY-OWNED SUBSIDIARIES (Dormant 1)</t>
  </si>
  <si>
    <t>BALANCE SHEETS OF WHOLLY-OWNED SUBSIDIARIES (Dormant 2)</t>
  </si>
  <si>
    <t>BALANCE SHEETS OF PARTLY-OWNED SUBSIDIARIES</t>
  </si>
  <si>
    <t>SUBSIDIARIES</t>
  </si>
  <si>
    <t>A. Amal</t>
  </si>
  <si>
    <t>Danau</t>
  </si>
  <si>
    <t>Austral</t>
  </si>
  <si>
    <t>Broadland</t>
  </si>
  <si>
    <t>Ratus</t>
  </si>
  <si>
    <t>Likas</t>
  </si>
  <si>
    <t>Hanaku</t>
  </si>
  <si>
    <t>Total of</t>
  </si>
  <si>
    <t>Astrogold</t>
  </si>
  <si>
    <t>A. Amal.</t>
  </si>
  <si>
    <t>Duta</t>
  </si>
  <si>
    <t>Golden</t>
  </si>
  <si>
    <t>Great</t>
  </si>
  <si>
    <t>Iras</t>
  </si>
  <si>
    <t>Kazamas</t>
  </si>
  <si>
    <t>Profound</t>
  </si>
  <si>
    <t>Total</t>
  </si>
  <si>
    <t>Exquisite</t>
  </si>
  <si>
    <t>Kemajuan</t>
  </si>
  <si>
    <t>Mandarin</t>
  </si>
  <si>
    <t>OTHER INVESTMENTS</t>
  </si>
  <si>
    <t>100% OWNED</t>
  </si>
  <si>
    <t>P/OWNED</t>
  </si>
  <si>
    <t xml:space="preserve"> TOTAL</t>
  </si>
  <si>
    <t>DEBIT</t>
  </si>
  <si>
    <t>CREDIT</t>
  </si>
  <si>
    <t>FINAL</t>
  </si>
  <si>
    <t>Prop. (PJ)</t>
  </si>
  <si>
    <t>Properties</t>
  </si>
  <si>
    <t>Kota Dev.</t>
  </si>
  <si>
    <t>Trading</t>
  </si>
  <si>
    <t>Venture</t>
  </si>
  <si>
    <t>Construction</t>
  </si>
  <si>
    <t>Bistari</t>
  </si>
  <si>
    <t>View</t>
  </si>
  <si>
    <t>Leasing</t>
  </si>
  <si>
    <t>Insurance</t>
  </si>
  <si>
    <t>TOTAL</t>
  </si>
  <si>
    <t>Prop. Mgt.</t>
  </si>
  <si>
    <t>Assets</t>
  </si>
  <si>
    <t>Capital</t>
  </si>
  <si>
    <t>Hotel Mgt.</t>
  </si>
  <si>
    <t>Hotel &amp; Res.</t>
  </si>
  <si>
    <t>International</t>
  </si>
  <si>
    <t>Overseas</t>
  </si>
  <si>
    <t>Kota</t>
  </si>
  <si>
    <t>Forum</t>
  </si>
  <si>
    <t>Demand</t>
  </si>
  <si>
    <t>Prima</t>
  </si>
  <si>
    <t>Corporation</t>
  </si>
  <si>
    <t>Continental</t>
  </si>
  <si>
    <t>:  Securities Services (Holdings) Sdn Bhd</t>
  </si>
  <si>
    <t>:  Ms. Jenny Lim Yew Heang</t>
  </si>
  <si>
    <t>:  Joint Company Secretary</t>
  </si>
  <si>
    <t>No rights, bonus, equity shares and / or any  form of debts securities were issued during the year.</t>
  </si>
  <si>
    <t>The Company has deferred an announcement on dividends pending the completion of the audited accounts.</t>
  </si>
  <si>
    <t>Schemes</t>
  </si>
  <si>
    <t>Way</t>
  </si>
  <si>
    <t>Excellence</t>
  </si>
  <si>
    <t>Amal. (Myr.)</t>
  </si>
  <si>
    <t>Equity</t>
  </si>
  <si>
    <t>Sasa</t>
  </si>
  <si>
    <t>Enterprise</t>
  </si>
  <si>
    <t>Tours &amp; Trv.</t>
  </si>
  <si>
    <t>For the Year Ended 30th June 2000</t>
  </si>
  <si>
    <t>As at 30th June  2000</t>
  </si>
  <si>
    <t>CAPITAL AND RESERVES</t>
  </si>
  <si>
    <t>MINORITY INTERESTS</t>
  </si>
  <si>
    <t>DEFERRED &amp; LONG TERM LIABILITIES</t>
  </si>
  <si>
    <t>Represented by:</t>
  </si>
  <si>
    <t>FIXED ASSETS</t>
  </si>
  <si>
    <t>SUBSIDIARY COMPANIES' BALANCES</t>
  </si>
  <si>
    <t>ASSOCIATED COMPANY</t>
  </si>
  <si>
    <t>INVESTMENTS</t>
  </si>
  <si>
    <t xml:space="preserve"> </t>
  </si>
  <si>
    <t>GOODWILL ON CONSOLIDATION</t>
  </si>
  <si>
    <t>CURRENT ASSETS</t>
  </si>
  <si>
    <t>CURRENT LIABILITIES</t>
  </si>
  <si>
    <t>NET CURRENT ASSETS/(LIABILITIES)</t>
  </si>
  <si>
    <t>DEFERRED EXPENDITURE C/F</t>
  </si>
  <si>
    <t>Profit before borrowings,depreciation</t>
  </si>
  <si>
    <t xml:space="preserve">less: </t>
  </si>
  <si>
    <t>Loan interest</t>
  </si>
  <si>
    <t>Profit after  borrowings before depreciation</t>
  </si>
  <si>
    <t>Operating Profit</t>
  </si>
  <si>
    <t>KLSE QUARTERLY REPORTING FORMAT</t>
  </si>
  <si>
    <t>Amalgamated</t>
  </si>
  <si>
    <t xml:space="preserve">Profound </t>
  </si>
  <si>
    <t>View S/B</t>
  </si>
  <si>
    <t>Depreciation</t>
  </si>
  <si>
    <t>Current Assets</t>
  </si>
  <si>
    <t>Accumulated Loss</t>
  </si>
  <si>
    <t>Quarterly report for preceding year were not available as it was not required then.</t>
  </si>
  <si>
    <t>PROFIT AND LOSS ACCOUNT OF WHOLLY-OWNED SUBSIDIARY COMPANIES (Active &amp; Semi Active)</t>
  </si>
  <si>
    <t>PROFIT AND LOSS ACCOUNT OF WHOLLY-OWNED SUBSIDIARY COMPANIES (Dormant 1)</t>
  </si>
  <si>
    <t>PROFIT AND LOSS ACCOUNT OF WHOLLY-OWNED SUBSIDIARY COMPANIES (Dormant 2)</t>
  </si>
  <si>
    <t>PROFIT AND LOSS ACCOUNT OF PARTLY-OWNED SUBSIDIARY COMPANIES</t>
  </si>
  <si>
    <t>DESCRIPTION</t>
  </si>
  <si>
    <t>TURNOVER</t>
  </si>
  <si>
    <t>OPERATING PROFIT / (LOSS)</t>
  </si>
  <si>
    <t>PROFIT BEFORE TAXATION</t>
  </si>
  <si>
    <t>PROFIT/(LOSS) AFTER TAXATION</t>
  </si>
  <si>
    <t>PROFIT/(LOSS) AFTER TAXATION &amp; MI</t>
  </si>
  <si>
    <t>PROFIT/(LOSS) AFTER EXTRAORDINARY ITEM</t>
  </si>
  <si>
    <t>UNAPPROPRIATED PROFIT / (ACCUMULATED LOSS) b/f</t>
  </si>
  <si>
    <t>PROFIT AVAILABLE FOR APPROPRIATION</t>
  </si>
  <si>
    <t>UNAPPROPRIATED PROFIT /(LOSS) c/f</t>
  </si>
  <si>
    <t xml:space="preserve">   Retained By :</t>
  </si>
  <si>
    <t xml:space="preserve">                              THE COMPANY</t>
  </si>
  <si>
    <t xml:space="preserve">                              SUBSIDIARIES</t>
  </si>
  <si>
    <t xml:space="preserve">                              ASSOCIATED CO</t>
  </si>
  <si>
    <t>Exchange Rate</t>
  </si>
  <si>
    <t>M.I. Share of profit/(loss) for the year</t>
  </si>
  <si>
    <t>% Shareholding</t>
  </si>
  <si>
    <t>Taxation</t>
  </si>
  <si>
    <t>Extraordinary Item</t>
  </si>
  <si>
    <t xml:space="preserve">     Long Term Loans</t>
  </si>
  <si>
    <t>LONG TERM PROPERTY DEVELOPMENT EXP.</t>
  </si>
  <si>
    <t>IEC</t>
  </si>
  <si>
    <t>GROUP  PROFIT AND LOSS ACCOUNT (based on amended June 99 balances)</t>
  </si>
  <si>
    <t>changed due to audit adjustments</t>
  </si>
  <si>
    <t>Share Capital</t>
  </si>
  <si>
    <t>tax</t>
  </si>
  <si>
    <t>dep</t>
  </si>
  <si>
    <t>int</t>
  </si>
  <si>
    <t>mi</t>
  </si>
  <si>
    <t>NTA</t>
  </si>
  <si>
    <t>1/2 YE 30.06.99</t>
  </si>
  <si>
    <t>1 Q YE 30.06.99</t>
  </si>
  <si>
    <t>RM'000</t>
  </si>
  <si>
    <t>NTA/share</t>
  </si>
  <si>
    <t>There were no pre-acquisition profits for the half year ended.</t>
  </si>
  <si>
    <t>Amal Capital</t>
  </si>
  <si>
    <t>appointed Special Administrators for three subsidiaries namely Danau Kota Development Sdn Bhd, Profound View Sdn Bhd and</t>
  </si>
  <si>
    <t>the Group.  The Company will endevour to keep the Kuala Lumpur Stock Exchange notified on further developments.</t>
  </si>
  <si>
    <t>The SAs and the New Investors have entered into the Conditional Sale and Purchase Agreements with the intention of setting out</t>
  </si>
  <si>
    <t>The Company will endeavour to keep the Kuala Lumpur Stock Exchange notified on further developments.</t>
  </si>
  <si>
    <t>Segmental information for the quarter ended 30th June  2000 is as follows:-</t>
  </si>
  <si>
    <t xml:space="preserve">Further to the Memorandum of Understanding entered into by the SAs of AAB,  the SAs on behalf of AAB have entered into two </t>
  </si>
  <si>
    <t>for a workout proposal that would be reviewed by an Independent Adviser and submitted to Danaharta, and subsequenty to the secured</t>
  </si>
  <si>
    <t>Administrators for the holding company and its three subsidiaries.</t>
  </si>
  <si>
    <t xml:space="preserve">Likas View Sdn Bhd.  During the period of restructuring, the company continued with its normal operations.  These activities </t>
  </si>
  <si>
    <t>generated only sufficient cashflows to maintain low level operations.</t>
  </si>
  <si>
    <t>Long Term Borrowings - Advances from related parties</t>
  </si>
  <si>
    <t xml:space="preserve">On 9th September 1999, Danaharta appointed Special Administrators over the company.  On 6th July 2000, Danaharta </t>
  </si>
  <si>
    <t>Conditional Sale and Puchase Agreements on 12 June, 2000 with the following parties (collectively known as the "New Investors"):-</t>
  </si>
  <si>
    <t>key terms and obligations to be addressed in the proposed investment in AAB by the New Investors.  This will form the basis</t>
  </si>
  <si>
    <t>For the year ended 30th June 2000 an update valuation is being conducted.</t>
  </si>
  <si>
    <t xml:space="preserve">On 30th June 2000, the company signed an Acquisition Agreement on the disposal of its entire interest in City Finance Bhd (an associate </t>
  </si>
  <si>
    <t xml:space="preserve">company) to a third party for cash.  Except for this and item 9 below, there were no other changes in the composition of the company </t>
  </si>
  <si>
    <t xml:space="preserve">for the current financial year to date including business combination, acquisition or disposal of subsidiaries and long term investments, </t>
  </si>
  <si>
    <t>restructuring and discontinuing of operations .</t>
  </si>
  <si>
    <t>appropriateness of the carrying values of land and buildings cannot be ascertained and may be subject to qualifications by the auditors.</t>
  </si>
</sst>
</file>

<file path=xl/styles.xml><?xml version="1.0" encoding="utf-8"?>
<styleSheet xmlns="http://schemas.openxmlformats.org/spreadsheetml/2006/main">
  <numFmts count="20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00_)"/>
    <numFmt numFmtId="171" formatCode="0.00_)"/>
    <numFmt numFmtId="172" formatCode="#,##0.000_);\(#,##0.000\)"/>
    <numFmt numFmtId="173" formatCode="#,##0.0000_);\(#,##0.0000\)"/>
    <numFmt numFmtId="174" formatCode="#,##0.0_);\(#,##0.0\)"/>
    <numFmt numFmtId="175" formatCode="#,##0.0_);[Red]\(#,##0.0\)"/>
    <numFmt numFmtId="176" formatCode="#,##0.00000_);\(#,##0.00000\)"/>
    <numFmt numFmtId="177" formatCode="#,##0.000000_);\(#,##0.000000\)"/>
    <numFmt numFmtId="178" formatCode="#,##0.0000000_);\(#,##0.0000000\)"/>
    <numFmt numFmtId="179" formatCode="#,##0.000_);[Red]\(#,##0.000\)"/>
    <numFmt numFmtId="180" formatCode="0.00_);[Red]\(0.00\)"/>
    <numFmt numFmtId="181" formatCode="0_);[Red]\(0\)"/>
    <numFmt numFmtId="182" formatCode="#,##0.0000_);[Red]\(#,##0.0000\)"/>
    <numFmt numFmtId="183" formatCode="dd\-mmm\-yy_)"/>
    <numFmt numFmtId="184" formatCode="0.000_)"/>
    <numFmt numFmtId="185" formatCode="_(* #,##0.0_);_(* \(#,##0.0\);_(* &quot;-&quot;??_);_(@_)"/>
    <numFmt numFmtId="186" formatCode="_(* #,##0_);_(* \(#,##0\);_(* &quot;-&quot;??_);_(@_)"/>
    <numFmt numFmtId="187" formatCode="0_)"/>
    <numFmt numFmtId="188" formatCode="_(* #,##0.000_);_(* \(#,##0.000\);_(* &quot;-&quot;??_);_(@_)"/>
    <numFmt numFmtId="189" formatCode="&quot;RM&quot;#,##0;\-&quot;RM&quot;#,##0"/>
    <numFmt numFmtId="190" formatCode="&quot;RM&quot;#,##0;[Red]\-&quot;RM&quot;#,##0"/>
    <numFmt numFmtId="191" formatCode="&quot;RM&quot;#,##0.00;\-&quot;RM&quot;#,##0.00"/>
    <numFmt numFmtId="192" formatCode="&quot;RM&quot;#,##0.00;[Red]\-&quot;RM&quot;#,##0.00"/>
    <numFmt numFmtId="193" formatCode="_-&quot;RM&quot;* #,##0_-;\-&quot;RM&quot;* #,##0_-;_-&quot;RM&quot;* &quot;-&quot;_-;_-@_-"/>
    <numFmt numFmtId="194" formatCode="_-&quot;RM&quot;* #,##0.00_-;\-&quot;RM&quot;* #,##0.00_-;_-&quot;RM&quot;* &quot;-&quot;??_-;_-@_-"/>
    <numFmt numFmtId="195" formatCode="#,##0&quot;$&quot;_-;#,##0&quot;$&quot;\-"/>
    <numFmt numFmtId="196" formatCode="#,##0&quot;$&quot;_-;[Red]#,##0&quot;$&quot;\-"/>
    <numFmt numFmtId="197" formatCode="#,##0.00&quot;$&quot;_-;#,##0.00&quot;$&quot;\-"/>
    <numFmt numFmtId="198" formatCode="#,##0.00&quot;$&quot;_-;[Red]#,##0.00&quot;$&quot;\-"/>
    <numFmt numFmtId="199" formatCode="_-* #,##0&quot;$&quot;_-;_-* #,##0&quot;$&quot;\-;_-* &quot;-&quot;&quot;$&quot;_-;_-@_-"/>
    <numFmt numFmtId="200" formatCode="_-* #,##0_$_-;_-* #,##0_$\-;_-* &quot;-&quot;_$_-;_-@_-"/>
    <numFmt numFmtId="201" formatCode="_-* #,##0.00&quot;$&quot;_-;_-* #,##0.00&quot;$&quot;\-;_-* &quot;-&quot;??&quot;$&quot;_-;_-@_-"/>
    <numFmt numFmtId="202" formatCode="_-* #,##0.00_$_-;_-* #,##0.00_$\-;_-* &quot;-&quot;??_$_-;_-@_-"/>
    <numFmt numFmtId="203" formatCode="0.0"/>
    <numFmt numFmtId="204" formatCode="0.0%"/>
    <numFmt numFmtId="205" formatCode="000000#####"/>
    <numFmt numFmtId="206" formatCode="000000#####00"/>
    <numFmt numFmtId="207" formatCode="000000#####.00"/>
    <numFmt numFmtId="208" formatCode="000000#####_)"/>
    <numFmt numFmtId="209" formatCode="0.000000"/>
    <numFmt numFmtId="210" formatCode="&quot;$&quot;#,##0.0000"/>
    <numFmt numFmtId="211" formatCode="0.0000"/>
    <numFmt numFmtId="212" formatCode="0.000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_(* #,##0.0000_);_(* \(#,##0.0000\);_(* &quot;-&quot;??_);_(@_)"/>
    <numFmt numFmtId="216" formatCode="_(* #,##0.00000_);_(* \(#,##0.00000\);_(* &quot;-&quot;??_);_(@_)"/>
    <numFmt numFmtId="217" formatCode="_(* #,##0.000000_);_(* \(#,##0.000000\);_(* &quot;-&quot;??_);_(@_)"/>
    <numFmt numFmtId="218" formatCode="_(&quot;$&quot;* #,##0.000_);_(&quot;$&quot;* \(#,##0.000\);_(&quot;$&quot;* &quot;-&quot;??_);_(@_)"/>
    <numFmt numFmtId="219" formatCode="_(&quot;$&quot;* #,##0.0000_);_(&quot;$&quot;* \(#,##0.0000\);_(&quot;$&quot;* &quot;-&quot;??_);_(@_)"/>
    <numFmt numFmtId="220" formatCode="_(&quot;$&quot;* #,##0.00000_);_(&quot;$&quot;* \(#,##0.00000\);_(&quot;$&quot;* &quot;-&quot;??_);_(@_)"/>
    <numFmt numFmtId="221" formatCode="_(&quot;$&quot;* #,##0.000000_);_(&quot;$&quot;* \(#,##0.000000\);_(&quot;$&quot;* &quot;-&quot;??_);_(@_)"/>
    <numFmt numFmtId="222" formatCode="_(&quot;$&quot;* #,##0.0000000_);_(&quot;$&quot;* \(#,##0.0000000\);_(&quot;$&quot;* &quot;-&quot;??_);_(@_)"/>
    <numFmt numFmtId="223" formatCode="_(&quot;$&quot;* #,##0.00000000_);_(&quot;$&quot;* \(#,##0.00000000\);_(&quot;$&quot;* &quot;-&quot;??_);_(@_)"/>
    <numFmt numFmtId="224" formatCode="_(* #,##0.0000000_);_(* \(#,##0.0000000\);_(* &quot;-&quot;??_);_(@_)"/>
    <numFmt numFmtId="225" formatCode="_(* #,##0.00000000_);_(* \(#,##0.00000000\);_(* &quot;-&quot;??_);_(@_)"/>
    <numFmt numFmtId="226" formatCode="General_)"/>
    <numFmt numFmtId="227" formatCode="&quot;£&quot;#,##0;\-&quot;£&quot;#,##0"/>
    <numFmt numFmtId="228" formatCode="&quot;£&quot;#,##0;[Red]\-&quot;£&quot;#,##0"/>
    <numFmt numFmtId="229" formatCode="&quot;£&quot;#,##0.00;\-&quot;£&quot;#,##0.00"/>
    <numFmt numFmtId="230" formatCode="&quot;£&quot;#,##0.00;[Red]\-&quot;£&quot;#,##0.00"/>
    <numFmt numFmtId="231" formatCode="_-&quot;£&quot;* #,##0_-;\-&quot;£&quot;* #,##0_-;_-&quot;£&quot;* &quot;-&quot;_-;_-@_-"/>
    <numFmt numFmtId="232" formatCode="_-&quot;£&quot;* #,##0.00_-;\-&quot;£&quot;* #,##0.00_-;_-&quot;£&quot;* &quot;-&quot;??_-;_-@_-"/>
    <numFmt numFmtId="233" formatCode="&quot;£&quot;#,##0.00;\(&quot;£&quot;#,##0.00\)"/>
    <numFmt numFmtId="234" formatCode="&quot;£&quot;#,##0.0;\(&quot;£&quot;#,##0.0\)"/>
    <numFmt numFmtId="235" formatCode="&quot;£&quot;#,##0;\(&quot;£&quot;#,##0\)"/>
    <numFmt numFmtId="236" formatCode="&quot;$&quot;#,##0.0_);[Red]\(&quot;$&quot;#,##0.0\)"/>
    <numFmt numFmtId="237" formatCode="&quot;$&quot;#,##0.000_);[Red]\(&quot;$&quot;#,##0.000\)"/>
    <numFmt numFmtId="238" formatCode="&quot;$&quot;#,##0.0000_);[Red]\(&quot;$&quot;#,##0.0000\)"/>
    <numFmt numFmtId="239" formatCode="&quot;$&quot;#,##0.00000_);[Red]\(&quot;$&quot;#,##0.00000\)"/>
    <numFmt numFmtId="240" formatCode="&quot;$&quot;#,##0.000000_);[Red]\(&quot;$&quot;#,##0.000000\)"/>
    <numFmt numFmtId="241" formatCode="&quot;£&quot;#,##0.0;[Red]\-&quot;£&quot;#,##0.0"/>
    <numFmt numFmtId="242" formatCode="\$#,##0.00;\(\$#,##0.00\)"/>
    <numFmt numFmtId="243" formatCode="\$#,##0.0;\(\$#,##0.0\)"/>
    <numFmt numFmtId="244" formatCode="\$#,##0;\(\$#,##0\)"/>
    <numFmt numFmtId="245" formatCode="_-* #,##0.0_-;\-* #,##0.0_-;_-* &quot;-&quot;??_-;_-@_-"/>
    <numFmt numFmtId="246" formatCode="_-* #,##0_-;\-* #,##0_-;_-* &quot;-&quot;??_-;_-@_-"/>
    <numFmt numFmtId="247" formatCode="0.00000"/>
    <numFmt numFmtId="248" formatCode="&quot;£&quot;#,##0.000;\(&quot;£&quot;#,##0.000\)"/>
    <numFmt numFmtId="249" formatCode="&quot;£&quot;#,##0.0000;\(&quot;£&quot;#,##0.0000\)"/>
    <numFmt numFmtId="250" formatCode="_(* #,##0.0_);_(* \(#,##0.0\);_(* &quot;-&quot;_);_(@_)"/>
    <numFmt numFmtId="251" formatCode="&quot;$&quot;#,##0.0_);\(&quot;$&quot;#,##0.0\)"/>
    <numFmt numFmtId="252" formatCode="0.0000000"/>
    <numFmt numFmtId="253" formatCode="#,##0;[Red]\(\-#,##0\)"/>
    <numFmt numFmtId="254" formatCode="#,##0.0"/>
    <numFmt numFmtId="255" formatCode="#,##0.000"/>
    <numFmt numFmtId="256" formatCode="#,##0.0000"/>
    <numFmt numFmtId="257" formatCode="_-* #,##0.000_-;\-* #,##0.000_-;_-* &quot;-&quot;??_-;_-@_-"/>
    <numFmt numFmtId="258" formatCode="0.00000000"/>
    <numFmt numFmtId="259" formatCode="\$#,##0\K;\(\$#,##0\K\)"/>
    <numFmt numFmtId="260" formatCode="&quot;$&quot;#,##0.000_);\(&quot;$&quot;#,##0.000\)"/>
    <numFmt numFmtId="261" formatCode="&quot;$&quot;#,##0.0000_);\(&quot;$&quot;#,##0.0000\)"/>
    <numFmt numFmtId="262" formatCode="#,##0;\(#,##0\)"/>
    <numFmt numFmtId="263" formatCode="\$#,##0.000;\(\$#,##0.000\)"/>
    <numFmt numFmtId="264" formatCode="\$#,##0.0000;\(\$#,##0.0000\)"/>
    <numFmt numFmtId="265" formatCode="#,##0.0;\(#,##0.0\)"/>
    <numFmt numFmtId="266" formatCode="#,##0.00;\(#,##0.00\)"/>
    <numFmt numFmtId="267" formatCode="0.000%"/>
    <numFmt numFmtId="268" formatCode="\$#,##0.00000;\(\$#,##0.00000\)"/>
    <numFmt numFmtId="269" formatCode="_-* #,##0.0000_-;\-* #,##0.0000_-;_-* &quot;-&quot;??_-;_-@_-"/>
    <numFmt numFmtId="270" formatCode="_-* #,##0.00000_-;\-* #,##0.00000_-;_-* &quot;-&quot;??_-;_-@_-"/>
    <numFmt numFmtId="271" formatCode="_-* #,##0.000000_-;\-* #,##0.000000_-;_-* &quot;-&quot;??_-;_-@_-"/>
    <numFmt numFmtId="272" formatCode="_-* #,##0.0000000_-;\-* #,##0.0000000_-;_-* &quot;-&quot;??_-;_-@_-"/>
    <numFmt numFmtId="273" formatCode="_-* #,##0.00000000_-;\-* #,##0.00000000_-;_-* &quot;-&quot;??_-;_-@_-"/>
    <numFmt numFmtId="274" formatCode="_-* #,##0.000000000_-;\-* #,##0.000000000_-;_-* &quot;-&quot;??_-;_-@_-"/>
    <numFmt numFmtId="275" formatCode="_-* #,##0.0000000000_-;\-* #,##0.0000000000_-;_-* &quot;-&quot;??_-;_-@_-"/>
    <numFmt numFmtId="276" formatCode="_-* #,##0.00000000000_-;\-* #,##0.00000000000_-;_-* &quot;-&quot;??_-;_-@_-"/>
    <numFmt numFmtId="277" formatCode="\c#,##0.0000;\(\$#,##0.0000\)"/>
    <numFmt numFmtId="278" formatCode="\$#,###.00;\(\$#,###.00\)"/>
    <numFmt numFmtId="279" formatCode="&quot;£&quot;#,###.00;\(&quot;£&quot;#,###.00\)"/>
    <numFmt numFmtId="280" formatCode="&quot;$&quot;#,##0&quot;K&quot;;\(&quot;$&quot;#,##0\)&quot;K&quot;"/>
    <numFmt numFmtId="281" formatCode="&quot;S&quot;\ #,##0;\-&quot;S&quot;\ #,##0"/>
    <numFmt numFmtId="282" formatCode="&quot;S&quot;\ #,##0;[Red]\-&quot;S&quot;\ #,##0"/>
    <numFmt numFmtId="283" formatCode="&quot;S&quot;\ #,##0.00;\-&quot;S&quot;\ #,##0.00"/>
    <numFmt numFmtId="284" formatCode="&quot;S&quot;\ #,##0.00;[Red]\-&quot;S&quot;\ #,##0.00"/>
    <numFmt numFmtId="285" formatCode="_-&quot;S&quot;\ * #,##0_-;\-&quot;S&quot;\ * #,##0_-;_-&quot;S&quot;\ * &quot;-&quot;_-;_-@_-"/>
    <numFmt numFmtId="286" formatCode="_-&quot;S&quot;\ * #,##0.00_-;\-&quot;S&quot;\ * #,##0.00_-;_-&quot;S&quot;\ * &quot;-&quot;??_-;_-@_-"/>
    <numFmt numFmtId="287" formatCode="#,##0;[Red]\(#,##0\)"/>
    <numFmt numFmtId="288" formatCode="#,##0.0;[Red]\(#,##0.0\)"/>
    <numFmt numFmtId="289" formatCode="0.0%;[Red]\(0.0%\)"/>
    <numFmt numFmtId="290" formatCode="0.0%;\(0.0%\)"/>
    <numFmt numFmtId="291" formatCode="&quot;SFr.&quot;#,##0;&quot;SFr.&quot;\-#,##0"/>
    <numFmt numFmtId="292" formatCode="&quot;SFr.&quot;#,##0;[Red]&quot;SFr.&quot;\-#,##0"/>
    <numFmt numFmtId="293" formatCode="&quot;SFr.&quot;#,##0.00;&quot;SFr.&quot;\-#,##0.00"/>
    <numFmt numFmtId="294" formatCode="&quot;SFr.&quot;#,##0.00;[Red]&quot;SFr.&quot;\-#,##0.00"/>
    <numFmt numFmtId="295" formatCode="_ &quot;SFr.&quot;* #,##0_ ;_ &quot;SFr.&quot;* \-#,##0_ ;_ &quot;SFr.&quot;* &quot;-&quot;_ ;_ @_ "/>
    <numFmt numFmtId="296" formatCode="_ * #,##0_ ;_ * \-#,##0_ ;_ * &quot;-&quot;_ ;_ @_ "/>
    <numFmt numFmtId="297" formatCode="_ &quot;SFr.&quot;* #,##0.00_ ;_ &quot;SFr.&quot;* \-#,##0.00_ ;_ &quot;SFr.&quot;* &quot;-&quot;??_ ;_ @_ "/>
    <numFmt numFmtId="298" formatCode="_ * #,##0.00_ ;_ * \-#,##0.00_ ;_ * &quot;-&quot;??_ ;_ @_ "/>
    <numFmt numFmtId="299" formatCode="#,##0.00;[Red]\(#,##0.00\)"/>
    <numFmt numFmtId="300" formatCode="#,##0.000;[Red]\(#,##0.000\)"/>
    <numFmt numFmtId="301" formatCode="#,##0.0000;[Red]\(#,##0.0000\)"/>
    <numFmt numFmtId="302" formatCode="mmmm\-yy"/>
    <numFmt numFmtId="303" formatCode="m/d"/>
    <numFmt numFmtId="304" formatCode="#,##0&quot;£&quot;_);\(#,##0&quot;£&quot;\)"/>
    <numFmt numFmtId="305" formatCode="#,##0&quot;£&quot;_);[Red]\(#,##0&quot;£&quot;\)"/>
    <numFmt numFmtId="306" formatCode="#,##0.00&quot;£&quot;_);\(#,##0.00&quot;£&quot;\)"/>
    <numFmt numFmtId="307" formatCode="#,##0.00&quot;£&quot;_);[Red]\(#,##0.00&quot;£&quot;\)"/>
    <numFmt numFmtId="308" formatCode="_ * #,##0_)&quot;£&quot;_ ;_ * \(#,##0\)&quot;£&quot;_ ;_ * &quot;-&quot;_)&quot;£&quot;_ ;_ @_ "/>
    <numFmt numFmtId="309" formatCode="_ * #,##0_)_£_ ;_ * \(#,##0\)_£_ ;_ * &quot;-&quot;_)_£_ ;_ @_ "/>
    <numFmt numFmtId="310" formatCode="_ * #,##0.00_)&quot;£&quot;_ ;_ * \(#,##0.00\)&quot;£&quot;_ ;_ * &quot;-&quot;??_)&quot;£&quot;_ ;_ @_ "/>
    <numFmt numFmtId="311" formatCode="_ * #,##0.00_)_£_ ;_ * \(#,##0.00\)_£_ ;_ * &quot;-&quot;??_)_£_ ;_ @_ "/>
    <numFmt numFmtId="312" formatCode="#,##0\ &quot;F&quot;;\-#,##0\ &quot;F&quot;"/>
    <numFmt numFmtId="313" formatCode="#,##0\ &quot;F&quot;;[Red]\-#,##0\ &quot;F&quot;"/>
    <numFmt numFmtId="314" formatCode="#,##0.00\ &quot;F&quot;;\-#,##0.00\ &quot;F&quot;"/>
    <numFmt numFmtId="315" formatCode="#,##0.00\ &quot;F&quot;;[Red]\-#,##0.00\ &quot;F&quot;"/>
    <numFmt numFmtId="316" formatCode="_-* #,##0\ &quot;F&quot;_-;\-* #,##0\ &quot;F&quot;_-;_-* &quot;-&quot;\ &quot;F&quot;_-;_-@_-"/>
    <numFmt numFmtId="317" formatCode="_-* #,##0\ _F_-;\-* #,##0\ _F_-;_-* &quot;-&quot;\ _F_-;_-@_-"/>
    <numFmt numFmtId="318" formatCode="_-* #,##0.00\ &quot;F&quot;_-;\-* #,##0.00\ &quot;F&quot;_-;_-* &quot;-&quot;??\ &quot;F&quot;_-;_-@_-"/>
    <numFmt numFmtId="319" formatCode="_-* #,##0.00\ _F_-;\-* #,##0.00\ _F_-;_-* &quot;-&quot;??\ _F_-;_-@_-"/>
    <numFmt numFmtId="320" formatCode="d/m/yy\ h:mm"/>
    <numFmt numFmtId="321" formatCode="#,##0&quot; F&quot;_);\(#,##0&quot; F&quot;\)"/>
    <numFmt numFmtId="322" formatCode="#,##0&quot; F&quot;_);[Red]\(#,##0&quot; F&quot;\)"/>
    <numFmt numFmtId="323" formatCode="#,##0.00&quot; F&quot;_);\(#,##0.00&quot; F&quot;\)"/>
    <numFmt numFmtId="324" formatCode="#,##0.00&quot; F&quot;_);[Red]\(#,##0.00&quot; F&quot;\)"/>
    <numFmt numFmtId="325" formatCode="#,##0&quot; $&quot;;\-#,##0&quot; $&quot;"/>
    <numFmt numFmtId="326" formatCode="#,##0&quot; $&quot;;[Red]\-#,##0&quot; $&quot;"/>
    <numFmt numFmtId="327" formatCode="#,##0.00&quot; $&quot;;\-#,##0.00&quot; $&quot;"/>
    <numFmt numFmtId="328" formatCode="#,##0.00&quot; $&quot;;[Red]\-#,##0.00&quot; $&quot;"/>
    <numFmt numFmtId="329" formatCode="d\.m\.yy"/>
    <numFmt numFmtId="330" formatCode="d\.mmm\.yy"/>
    <numFmt numFmtId="331" formatCode="d\.mmm"/>
    <numFmt numFmtId="332" formatCode="mmm\.yy"/>
    <numFmt numFmtId="333" formatCode="d\.m\.yy\ h:mm"/>
    <numFmt numFmtId="334" formatCode="0&quot;  &quot;"/>
    <numFmt numFmtId="335" formatCode="0.00&quot;  &quot;"/>
    <numFmt numFmtId="336" formatCode="0.0&quot;  &quot;"/>
    <numFmt numFmtId="337" formatCode="0.000&quot;  &quot;"/>
    <numFmt numFmtId="338" formatCode="0.0000&quot;  &quot;"/>
    <numFmt numFmtId="339" formatCode="0.00000&quot;  &quot;"/>
    <numFmt numFmtId="340" formatCode="m/d\ "/>
    <numFmt numFmtId="341" formatCode="0.0_)"/>
    <numFmt numFmtId="342" formatCode="&quot;$&quot;#,##0\ ;\(&quot;$&quot;#,##0\)"/>
    <numFmt numFmtId="343" formatCode="&quot;$&quot;#,##0\ ;[Red]\(&quot;$&quot;#,##0\)"/>
    <numFmt numFmtId="344" formatCode="&quot;$&quot;#,##0.00\ ;\(&quot;$&quot;#,##0.00\)"/>
    <numFmt numFmtId="345" formatCode="&quot;$&quot;#,##0.00\ ;[Red]\(&quot;$&quot;#,##0.00\)"/>
    <numFmt numFmtId="346" formatCode="&quot;$&quot;#,##0.0\ ;\(&quot;$&quot;#,##0.0\)"/>
    <numFmt numFmtId="347" formatCode="&quot;USD&quot;#,##0_);\(&quot;USD&quot;#,##0\)"/>
    <numFmt numFmtId="348" formatCode="&quot;USD&quot;#,##0_);[Red]\(&quot;USD&quot;#,##0\)"/>
    <numFmt numFmtId="349" formatCode="&quot;USD&quot;#,##0.00_);\(&quot;USD&quot;#,##0.00\)"/>
    <numFmt numFmtId="350" formatCode="&quot;USD&quot;#,##0.00_);[Red]\(&quot;USD&quot;#,##0.00\)"/>
    <numFmt numFmtId="351" formatCode="_(&quot;USD&quot;* #,##0_);_(&quot;USD&quot;* \(#,##0\);_(&quot;USD&quot;* &quot;-&quot;_);_(@_)"/>
    <numFmt numFmtId="352" formatCode="_(&quot;USD&quot;* #,##0.00_);_(&quot;USD&quot;* \(#,##0.00\);_(&quot;USD&quot;* &quot;-&quot;??_);_(@_)"/>
    <numFmt numFmtId="353" formatCode="#,##0.00000000_);\(#,##0.00000000\)"/>
    <numFmt numFmtId="354" formatCode="_(* #,##0.0_);_(* \(#,##0.0\);_(* &quot;-&quot;?_);_(@_)"/>
    <numFmt numFmtId="355" formatCode="_(* #,##0.000000000_);_(* \(#,##0.000000000\);_(* &quot;-&quot;??_);_(@_)"/>
    <numFmt numFmtId="356" formatCode="_(* #,##0.0000000000_);_(* \(#,##0.0000000000\);_(* &quot;-&quot;??_);_(@_)"/>
  </numFmts>
  <fonts count="31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9"/>
      <name val="Arial Narrow"/>
      <family val="0"/>
    </font>
    <font>
      <sz val="10"/>
      <name val="Times New Roman"/>
      <family val="0"/>
    </font>
    <font>
      <sz val="8"/>
      <name val="Arial Narrow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0"/>
    </font>
    <font>
      <sz val="8"/>
      <name val="Arial"/>
      <family val="0"/>
    </font>
    <font>
      <sz val="12"/>
      <name val="Arial"/>
      <family val="0"/>
    </font>
    <font>
      <sz val="10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Helv"/>
      <family val="0"/>
    </font>
    <font>
      <sz val="8"/>
      <name val="Helv"/>
      <family val="0"/>
    </font>
    <font>
      <sz val="9"/>
      <name val="Arial Narrow"/>
      <family val="2"/>
    </font>
    <font>
      <sz val="10"/>
      <color indexed="12"/>
      <name val="Arial Narrow"/>
      <family val="2"/>
    </font>
    <font>
      <sz val="8"/>
      <name val="Tahoma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u val="single"/>
      <sz val="10"/>
      <name val="Arial Narrow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296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17" fontId="0" fillId="0" borderId="0" applyFont="0" applyFill="0" applyBorder="0" applyAlignment="0" applyProtection="0"/>
    <xf numFmtId="296" fontId="0" fillId="0" borderId="0" applyFont="0" applyFill="0" applyBorder="0" applyAlignment="0" applyProtection="0"/>
    <xf numFmtId="317" fontId="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317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96" fontId="0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62" fontId="8" fillId="0" borderId="0">
      <alignment/>
      <protection/>
    </xf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9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19" fontId="0" fillId="0" borderId="0" applyFont="0" applyFill="0" applyBorder="0" applyAlignment="0" applyProtection="0"/>
    <xf numFmtId="4" fontId="15" fillId="0" borderId="0" applyProtection="0">
      <alignment/>
    </xf>
    <xf numFmtId="4" fontId="15" fillId="0" borderId="0" applyProtection="0">
      <alignment/>
    </xf>
    <xf numFmtId="31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" fontId="15" fillId="0" borderId="0" applyProtection="0">
      <alignment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95" fontId="0" fillId="0" borderId="0" applyFont="0" applyFill="0" applyBorder="0" applyAlignment="0" applyProtection="0"/>
    <xf numFmtId="196" fontId="1" fillId="0" borderId="0" applyFont="0" applyFill="0" applyBorder="0" applyAlignment="0" applyProtection="0"/>
    <xf numFmtId="31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316" fontId="0" fillId="0" borderId="0" applyFont="0" applyFill="0" applyBorder="0" applyAlignment="0" applyProtection="0"/>
    <xf numFmtId="316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199" fontId="0" fillId="0" borderId="0" applyFont="0" applyFill="0" applyBorder="0" applyAlignment="0" applyProtection="0"/>
    <xf numFmtId="351" fontId="0" fillId="0" borderId="0" applyFont="0" applyFill="0" applyBorder="0" applyAlignment="0" applyProtection="0"/>
    <xf numFmtId="231" fontId="14" fillId="0" borderId="0" applyFont="0" applyFill="0" applyBorder="0" applyAlignment="0" applyProtection="0"/>
    <xf numFmtId="231" fontId="8" fillId="0" borderId="0" applyFont="0" applyFill="0" applyBorder="0" applyAlignment="0" applyProtection="0"/>
    <xf numFmtId="35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199" fontId="0" fillId="0" borderId="0" applyFont="0" applyFill="0" applyBorder="0" applyAlignment="0" applyProtection="0"/>
    <xf numFmtId="231" fontId="8" fillId="0" borderId="0" applyFont="0" applyFill="0" applyBorder="0" applyAlignment="0" applyProtection="0"/>
    <xf numFmtId="23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35" fontId="8" fillId="0" borderId="0" applyProtection="0">
      <alignment/>
    </xf>
    <xf numFmtId="232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32" fontId="8" fillId="0" borderId="0" applyFont="0" applyFill="0" applyBorder="0" applyAlignment="0" applyProtection="0"/>
    <xf numFmtId="232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97" fontId="0" fillId="0" borderId="0" applyFont="0" applyFill="0" applyBorder="0" applyAlignment="0" applyProtection="0"/>
    <xf numFmtId="232" fontId="8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297" fontId="0" fillId="0" borderId="0" applyFont="0" applyFill="0" applyBorder="0" applyAlignment="0" applyProtection="0"/>
    <xf numFmtId="198" fontId="1" fillId="0" borderId="0" applyFont="0" applyFill="0" applyBorder="0" applyAlignment="0" applyProtection="0"/>
    <xf numFmtId="318" fontId="0" fillId="0" borderId="0" applyFont="0" applyFill="0" applyBorder="0" applyAlignment="0" applyProtection="0"/>
    <xf numFmtId="344" fontId="15" fillId="0" borderId="0" applyProtection="0">
      <alignment/>
    </xf>
    <xf numFmtId="344" fontId="15" fillId="0" borderId="0" applyProtection="0">
      <alignment/>
    </xf>
    <xf numFmtId="318" fontId="8" fillId="0" borderId="0" applyFont="0" applyFill="0" applyBorder="0" applyAlignment="0" applyProtection="0"/>
    <xf numFmtId="235" fontId="8" fillId="0" borderId="0" applyProtection="0">
      <alignment/>
    </xf>
    <xf numFmtId="328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352" fontId="0" fillId="0" borderId="0" applyFont="0" applyFill="0" applyBorder="0" applyAlignment="0" applyProtection="0"/>
    <xf numFmtId="232" fontId="14" fillId="0" borderId="0" applyFont="0" applyFill="0" applyBorder="0" applyAlignment="0" applyProtection="0"/>
    <xf numFmtId="232" fontId="8" fillId="0" borderId="0" applyFont="0" applyFill="0" applyBorder="0" applyAlignment="0" applyProtection="0"/>
    <xf numFmtId="235" fontId="8" fillId="0" borderId="0" applyProtection="0">
      <alignment/>
    </xf>
    <xf numFmtId="201" fontId="0" fillId="0" borderId="0" applyFont="0" applyFill="0" applyBorder="0" applyAlignment="0" applyProtection="0"/>
    <xf numFmtId="352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2" fontId="8" fillId="0" borderId="0" applyFont="0" applyFill="0" applyBorder="0" applyAlignment="0" applyProtection="0"/>
    <xf numFmtId="201" fontId="0" fillId="0" borderId="0" applyFont="0" applyFill="0" applyBorder="0" applyAlignment="0" applyProtection="0"/>
    <xf numFmtId="232" fontId="8" fillId="0" borderId="0" applyFont="0" applyFill="0" applyBorder="0" applyAlignment="0" applyProtection="0"/>
    <xf numFmtId="344" fontId="15" fillId="0" borderId="0" applyProtection="0">
      <alignment/>
    </xf>
    <xf numFmtId="232" fontId="0" fillId="0" borderId="0" applyFont="0" applyFill="0" applyBorder="0" applyAlignment="0" applyProtection="0"/>
    <xf numFmtId="242" fontId="8" fillId="0" borderId="0">
      <alignment/>
      <protection/>
    </xf>
    <xf numFmtId="0" fontId="15" fillId="0" borderId="0" applyProtection="0">
      <alignment/>
    </xf>
    <xf numFmtId="0" fontId="15" fillId="0" borderId="0" applyProtection="0">
      <alignment/>
    </xf>
    <xf numFmtId="244" fontId="8" fillId="0" borderId="0">
      <alignment/>
      <protection/>
    </xf>
    <xf numFmtId="2" fontId="15" fillId="0" borderId="0" applyProtection="0">
      <alignment/>
    </xf>
    <xf numFmtId="2" fontId="15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39" fontId="1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9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39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0" fontId="15" fillId="0" borderId="0" applyProtection="0">
      <alignment/>
    </xf>
    <xf numFmtId="10" fontId="15" fillId="0" borderId="0" applyProtection="0">
      <alignment/>
    </xf>
    <xf numFmtId="0" fontId="15" fillId="0" borderId="1" applyProtection="0">
      <alignment/>
    </xf>
    <xf numFmtId="0" fontId="15" fillId="0" borderId="1" applyProtection="0">
      <alignment/>
    </xf>
  </cellStyleXfs>
  <cellXfs count="446">
    <xf numFmtId="0" fontId="0" fillId="0" borderId="0" xfId="0" applyAlignment="1">
      <alignment/>
    </xf>
    <xf numFmtId="0" fontId="4" fillId="0" borderId="0" xfId="60" applyNumberFormat="1" applyFont="1" applyAlignment="1">
      <alignment/>
    </xf>
    <xf numFmtId="0" fontId="5" fillId="0" borderId="0" xfId="60" applyNumberFormat="1" applyFont="1" applyAlignment="1" applyProtection="1">
      <alignment/>
      <protection/>
    </xf>
    <xf numFmtId="0" fontId="6" fillId="0" borderId="0" xfId="60" applyNumberFormat="1" applyFont="1" applyBorder="1" applyAlignment="1">
      <alignment/>
    </xf>
    <xf numFmtId="0" fontId="4" fillId="0" borderId="0" xfId="194" applyNumberFormat="1" applyFont="1" applyAlignment="1">
      <alignment/>
      <protection/>
    </xf>
    <xf numFmtId="0" fontId="4" fillId="0" borderId="0" xfId="194" applyNumberFormat="1" applyFont="1" applyBorder="1" applyAlignment="1">
      <alignment/>
      <protection/>
    </xf>
    <xf numFmtId="0" fontId="5" fillId="0" borderId="0" xfId="60" applyNumberFormat="1" applyFont="1" applyAlignment="1" applyProtection="1" quotePrefix="1">
      <alignment/>
      <protection/>
    </xf>
    <xf numFmtId="0" fontId="6" fillId="0" borderId="0" xfId="60" applyNumberFormat="1" applyFont="1" applyBorder="1" applyAlignment="1" applyProtection="1">
      <alignment/>
      <protection/>
    </xf>
    <xf numFmtId="0" fontId="4" fillId="0" borderId="0" xfId="60" applyNumberFormat="1" applyFont="1" applyAlignment="1" applyProtection="1">
      <alignment/>
      <protection/>
    </xf>
    <xf numFmtId="0" fontId="6" fillId="0" borderId="2" xfId="60" applyNumberFormat="1" applyFont="1" applyBorder="1" applyAlignment="1">
      <alignment/>
    </xf>
    <xf numFmtId="0" fontId="6" fillId="0" borderId="3" xfId="60" applyNumberFormat="1" applyFont="1" applyBorder="1" applyAlignment="1" applyProtection="1">
      <alignment horizontal="center"/>
      <protection/>
    </xf>
    <xf numFmtId="0" fontId="6" fillId="0" borderId="3" xfId="60" applyNumberFormat="1" applyFont="1" applyBorder="1" applyAlignment="1">
      <alignment horizontal="center"/>
    </xf>
    <xf numFmtId="0" fontId="6" fillId="0" borderId="0" xfId="60" applyNumberFormat="1" applyFont="1" applyAlignment="1">
      <alignment/>
    </xf>
    <xf numFmtId="37" fontId="7" fillId="0" borderId="2" xfId="194" applyFont="1" applyBorder="1" applyAlignment="1" applyProtection="1">
      <alignment horizontal="center" vertical="center"/>
      <protection/>
    </xf>
    <xf numFmtId="37" fontId="7" fillId="0" borderId="3" xfId="194" applyFont="1" applyBorder="1" applyAlignment="1">
      <alignment horizontal="center" vertical="center"/>
      <protection/>
    </xf>
    <xf numFmtId="0" fontId="6" fillId="0" borderId="0" xfId="60" applyNumberFormat="1" applyFont="1" applyAlignment="1" applyProtection="1">
      <alignment/>
      <protection/>
    </xf>
    <xf numFmtId="37" fontId="7" fillId="0" borderId="2" xfId="194" applyFont="1" applyBorder="1" applyAlignment="1">
      <alignment horizontal="center" vertical="center"/>
      <protection/>
    </xf>
    <xf numFmtId="37" fontId="7" fillId="0" borderId="3" xfId="194" applyFont="1" applyBorder="1" applyAlignment="1" applyProtection="1">
      <alignment horizontal="centerContinuous" vertical="center"/>
      <protection/>
    </xf>
    <xf numFmtId="0" fontId="6" fillId="0" borderId="0" xfId="194" applyNumberFormat="1" applyFont="1" applyBorder="1" applyAlignment="1">
      <alignment/>
      <protection/>
    </xf>
    <xf numFmtId="0" fontId="6" fillId="0" borderId="4" xfId="60" applyNumberFormat="1" applyFont="1" applyBorder="1" applyAlignment="1">
      <alignment/>
    </xf>
    <xf numFmtId="0" fontId="6" fillId="0" borderId="5" xfId="60" applyNumberFormat="1" applyFont="1" applyBorder="1" applyAlignment="1" applyProtection="1">
      <alignment horizontal="center"/>
      <protection/>
    </xf>
    <xf numFmtId="0" fontId="6" fillId="0" borderId="5" xfId="60" applyNumberFormat="1" applyFont="1" applyBorder="1" applyAlignment="1" applyProtection="1" quotePrefix="1">
      <alignment horizontal="center"/>
      <protection/>
    </xf>
    <xf numFmtId="37" fontId="7" fillId="0" borderId="4" xfId="194" applyFont="1" applyBorder="1" applyAlignment="1" applyProtection="1">
      <alignment horizontal="center" vertical="center"/>
      <protection/>
    </xf>
    <xf numFmtId="37" fontId="7" fillId="0" borderId="5" xfId="194" applyFont="1" applyBorder="1" applyAlignment="1" applyProtection="1">
      <alignment horizontal="center" vertical="center"/>
      <protection/>
    </xf>
    <xf numFmtId="37" fontId="7" fillId="0" borderId="5" xfId="194" applyFont="1" applyBorder="1" applyAlignment="1" applyProtection="1" quotePrefix="1">
      <alignment horizontal="center" vertical="center"/>
      <protection/>
    </xf>
    <xf numFmtId="38" fontId="6" fillId="0" borderId="6" xfId="60" applyNumberFormat="1" applyFont="1" applyBorder="1" applyAlignment="1" applyProtection="1">
      <alignment/>
      <protection/>
    </xf>
    <xf numFmtId="38" fontId="4" fillId="0" borderId="7" xfId="60" applyNumberFormat="1" applyFont="1" applyBorder="1" applyAlignment="1" applyProtection="1">
      <alignment/>
      <protection/>
    </xf>
    <xf numFmtId="38" fontId="4" fillId="0" borderId="0" xfId="60" applyNumberFormat="1" applyFont="1" applyAlignment="1">
      <alignment/>
    </xf>
    <xf numFmtId="38" fontId="4" fillId="0" borderId="0" xfId="60" applyNumberFormat="1" applyFont="1" applyAlignment="1" applyProtection="1">
      <alignment/>
      <protection/>
    </xf>
    <xf numFmtId="38" fontId="4" fillId="0" borderId="6" xfId="60" applyNumberFormat="1" applyFont="1" applyBorder="1" applyAlignment="1" applyProtection="1">
      <alignment/>
      <protection/>
    </xf>
    <xf numFmtId="38" fontId="4" fillId="0" borderId="7" xfId="60" applyNumberFormat="1" applyFont="1" applyBorder="1" applyAlignment="1">
      <alignment/>
    </xf>
    <xf numFmtId="38" fontId="4" fillId="0" borderId="5" xfId="60" applyNumberFormat="1" applyFont="1" applyBorder="1" applyAlignment="1" applyProtection="1">
      <alignment/>
      <protection/>
    </xf>
    <xf numFmtId="38" fontId="4" fillId="0" borderId="6" xfId="194" applyNumberFormat="1" applyFont="1" applyBorder="1" applyAlignment="1">
      <alignment/>
      <protection/>
    </xf>
    <xf numFmtId="38" fontId="4" fillId="0" borderId="3" xfId="60" applyNumberFormat="1" applyFont="1" applyBorder="1" applyAlignment="1" applyProtection="1">
      <alignment/>
      <protection/>
    </xf>
    <xf numFmtId="38" fontId="4" fillId="0" borderId="4" xfId="60" applyNumberFormat="1" applyFont="1" applyBorder="1" applyAlignment="1" applyProtection="1">
      <alignment/>
      <protection/>
    </xf>
    <xf numFmtId="38" fontId="4" fillId="0" borderId="6" xfId="60" applyNumberFormat="1" applyFont="1" applyBorder="1" applyAlignment="1">
      <alignment/>
    </xf>
    <xf numFmtId="38" fontId="4" fillId="0" borderId="8" xfId="60" applyNumberFormat="1" applyFont="1" applyBorder="1" applyAlignment="1" applyProtection="1">
      <alignment/>
      <protection/>
    </xf>
    <xf numFmtId="0" fontId="4" fillId="0" borderId="0" xfId="194" applyNumberFormat="1" applyFont="1" applyBorder="1" applyAlignment="1" applyProtection="1">
      <alignment/>
      <protection/>
    </xf>
    <xf numFmtId="38" fontId="4" fillId="0" borderId="7" xfId="194" applyNumberFormat="1" applyFont="1" applyBorder="1" applyAlignment="1">
      <alignment/>
      <protection/>
    </xf>
    <xf numFmtId="38" fontId="4" fillId="0" borderId="9" xfId="60" applyNumberFormat="1" applyFont="1" applyBorder="1" applyAlignment="1" applyProtection="1">
      <alignment/>
      <protection/>
    </xf>
    <xf numFmtId="38" fontId="4" fillId="0" borderId="5" xfId="60" applyNumberFormat="1" applyFont="1" applyBorder="1" applyAlignment="1" applyProtection="1" quotePrefix="1">
      <alignment/>
      <protection/>
    </xf>
    <xf numFmtId="38" fontId="4" fillId="0" borderId="0" xfId="60" applyNumberFormat="1" applyFont="1" applyBorder="1" applyAlignment="1" applyProtection="1">
      <alignment/>
      <protection/>
    </xf>
    <xf numFmtId="38" fontId="4" fillId="0" borderId="10" xfId="60" applyNumberFormat="1" applyFont="1" applyBorder="1" applyAlignment="1">
      <alignment/>
    </xf>
    <xf numFmtId="38" fontId="4" fillId="0" borderId="11" xfId="60" applyNumberFormat="1" applyFont="1" applyBorder="1" applyAlignment="1" applyProtection="1">
      <alignment/>
      <protection/>
    </xf>
    <xf numFmtId="40" fontId="4" fillId="0" borderId="0" xfId="60" applyNumberFormat="1" applyFont="1" applyAlignment="1">
      <alignment/>
    </xf>
    <xf numFmtId="40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0" fontId="3" fillId="0" borderId="0" xfId="60" applyNumberFormat="1" applyFont="1" applyBorder="1" applyAlignment="1" applyProtection="1">
      <alignment/>
      <protection/>
    </xf>
    <xf numFmtId="0" fontId="3" fillId="0" borderId="0" xfId="60" applyNumberFormat="1" applyFont="1" applyBorder="1" applyAlignment="1" applyProtection="1" quotePrefix="1">
      <alignment/>
      <protection/>
    </xf>
    <xf numFmtId="37" fontId="4" fillId="0" borderId="0" xfId="195" applyFont="1" applyAlignment="1">
      <alignment vertical="center"/>
      <protection/>
    </xf>
    <xf numFmtId="37" fontId="4" fillId="0" borderId="0" xfId="195" applyFont="1">
      <alignment/>
      <protection/>
    </xf>
    <xf numFmtId="37" fontId="7" fillId="0" borderId="12" xfId="195" applyFont="1" applyBorder="1" applyAlignment="1">
      <alignment vertical="center"/>
      <protection/>
    </xf>
    <xf numFmtId="37" fontId="7" fillId="0" borderId="2" xfId="195" applyFont="1" applyBorder="1" applyAlignment="1" applyProtection="1">
      <alignment horizontal="center" vertical="center"/>
      <protection/>
    </xf>
    <xf numFmtId="37" fontId="7" fillId="0" borderId="9" xfId="195" applyFont="1" applyBorder="1" applyAlignment="1" applyProtection="1">
      <alignment horizontal="centerContinuous" vertical="center"/>
      <protection/>
    </xf>
    <xf numFmtId="37" fontId="7" fillId="0" borderId="9" xfId="195" applyFont="1" applyBorder="1" applyAlignment="1">
      <alignment horizontal="centerContinuous" vertical="center"/>
      <protection/>
    </xf>
    <xf numFmtId="37" fontId="7" fillId="0" borderId="3" xfId="195" applyFont="1" applyBorder="1" applyAlignment="1">
      <alignment vertical="center"/>
      <protection/>
    </xf>
    <xf numFmtId="37" fontId="7" fillId="0" borderId="2" xfId="195" applyFont="1" applyBorder="1" applyAlignment="1">
      <alignment vertical="center"/>
      <protection/>
    </xf>
    <xf numFmtId="37" fontId="7" fillId="0" borderId="0" xfId="195" applyFont="1" applyAlignment="1">
      <alignment vertical="center"/>
      <protection/>
    </xf>
    <xf numFmtId="37" fontId="7" fillId="0" borderId="3" xfId="195" applyFont="1" applyBorder="1" applyAlignment="1">
      <alignment horizontal="centerContinuous" vertical="center"/>
      <protection/>
    </xf>
    <xf numFmtId="37" fontId="7" fillId="0" borderId="3" xfId="195" applyFont="1" applyBorder="1" applyAlignment="1">
      <alignment horizontal="center" vertical="center"/>
      <protection/>
    </xf>
    <xf numFmtId="37" fontId="7" fillId="0" borderId="2" xfId="195" applyFont="1" applyBorder="1" applyAlignment="1">
      <alignment horizontal="center" vertical="center"/>
      <protection/>
    </xf>
    <xf numFmtId="37" fontId="7" fillId="0" borderId="3" xfId="195" applyFont="1" applyBorder="1" applyAlignment="1" applyProtection="1">
      <alignment horizontal="centerContinuous" vertical="center"/>
      <protection/>
    </xf>
    <xf numFmtId="37" fontId="7" fillId="0" borderId="0" xfId="195" applyFont="1" applyBorder="1" applyAlignment="1">
      <alignment horizontal="center" vertical="center"/>
      <protection/>
    </xf>
    <xf numFmtId="37" fontId="7" fillId="0" borderId="13" xfId="195" applyFont="1" applyBorder="1" applyAlignment="1" applyProtection="1">
      <alignment horizontal="center" vertical="center"/>
      <protection/>
    </xf>
    <xf numFmtId="37" fontId="7" fillId="0" borderId="4" xfId="195" applyFont="1" applyBorder="1" applyAlignment="1" applyProtection="1">
      <alignment horizontal="center" vertical="center"/>
      <protection/>
    </xf>
    <xf numFmtId="37" fontId="7" fillId="0" borderId="5" xfId="195" applyFont="1" applyBorder="1" applyAlignment="1" applyProtection="1">
      <alignment horizontal="center" vertical="center"/>
      <protection/>
    </xf>
    <xf numFmtId="37" fontId="7" fillId="0" borderId="0" xfId="195" applyFont="1" applyAlignment="1" applyProtection="1">
      <alignment horizontal="center" vertical="center"/>
      <protection/>
    </xf>
    <xf numFmtId="37" fontId="7" fillId="0" borderId="5" xfId="195" applyFont="1" applyBorder="1" applyAlignment="1" applyProtection="1" quotePrefix="1">
      <alignment horizontal="center" vertical="center"/>
      <protection/>
    </xf>
    <xf numFmtId="37" fontId="7" fillId="0" borderId="0" xfId="195" applyFont="1" applyBorder="1" applyAlignment="1" applyProtection="1">
      <alignment horizontal="center" vertical="center"/>
      <protection/>
    </xf>
    <xf numFmtId="38" fontId="4" fillId="0" borderId="14" xfId="61" applyNumberFormat="1" applyFont="1" applyBorder="1" applyAlignment="1" applyProtection="1">
      <alignment vertical="center"/>
      <protection/>
    </xf>
    <xf numFmtId="38" fontId="4" fillId="0" borderId="6" xfId="61" applyNumberFormat="1" applyFont="1" applyBorder="1" applyAlignment="1" applyProtection="1">
      <alignment horizontal="fill" vertical="center"/>
      <protection/>
    </xf>
    <xf numFmtId="38" fontId="4" fillId="0" borderId="7" xfId="61" applyNumberFormat="1" applyFont="1" applyBorder="1" applyAlignment="1" applyProtection="1">
      <alignment horizontal="fill" vertical="center"/>
      <protection/>
    </xf>
    <xf numFmtId="38" fontId="4" fillId="0" borderId="0" xfId="61" applyNumberFormat="1" applyFont="1" applyAlignment="1">
      <alignment vertical="center"/>
    </xf>
    <xf numFmtId="38" fontId="4" fillId="0" borderId="0" xfId="61" applyNumberFormat="1" applyFont="1" applyAlignment="1" applyProtection="1">
      <alignment horizontal="fill" vertical="center"/>
      <protection/>
    </xf>
    <xf numFmtId="38" fontId="4" fillId="0" borderId="0" xfId="61" applyNumberFormat="1" applyFont="1" applyBorder="1" applyAlignment="1" applyProtection="1">
      <alignment horizontal="fill" vertical="center"/>
      <protection/>
    </xf>
    <xf numFmtId="38" fontId="6" fillId="0" borderId="14" xfId="61" applyNumberFormat="1" applyFont="1" applyBorder="1" applyAlignment="1" applyProtection="1">
      <alignment vertical="center"/>
      <protection/>
    </xf>
    <xf numFmtId="38" fontId="4" fillId="0" borderId="10" xfId="61" applyNumberFormat="1" applyFont="1" applyBorder="1" applyAlignment="1" applyProtection="1">
      <alignment vertical="center"/>
      <protection/>
    </xf>
    <xf numFmtId="38" fontId="4" fillId="0" borderId="15" xfId="61" applyNumberFormat="1" applyFont="1" applyBorder="1" applyAlignment="1" applyProtection="1">
      <alignment vertical="center"/>
      <protection/>
    </xf>
    <xf numFmtId="38" fontId="4" fillId="0" borderId="0" xfId="61" applyNumberFormat="1" applyFont="1" applyAlignment="1" applyProtection="1">
      <alignment vertical="center"/>
      <protection/>
    </xf>
    <xf numFmtId="38" fontId="4" fillId="0" borderId="10" xfId="61" applyNumberFormat="1" applyFont="1" applyBorder="1" applyAlignment="1">
      <alignment vertical="center"/>
    </xf>
    <xf numFmtId="38" fontId="4" fillId="0" borderId="0" xfId="61" applyNumberFormat="1" applyFont="1" applyBorder="1" applyAlignment="1" applyProtection="1">
      <alignment vertical="center"/>
      <protection/>
    </xf>
    <xf numFmtId="38" fontId="4" fillId="0" borderId="14" xfId="61" applyNumberFormat="1" applyFont="1" applyBorder="1" applyAlignment="1">
      <alignment vertical="center"/>
    </xf>
    <xf numFmtId="38" fontId="4" fillId="0" borderId="6" xfId="61" applyNumberFormat="1" applyFont="1" applyBorder="1" applyAlignment="1">
      <alignment vertical="center"/>
    </xf>
    <xf numFmtId="38" fontId="4" fillId="0" borderId="7" xfId="61" applyNumberFormat="1" applyFont="1" applyBorder="1" applyAlignment="1">
      <alignment vertical="center"/>
    </xf>
    <xf numFmtId="38" fontId="4" fillId="0" borderId="0" xfId="61" applyNumberFormat="1" applyFont="1" applyBorder="1" applyAlignment="1">
      <alignment vertical="center"/>
    </xf>
    <xf numFmtId="38" fontId="4" fillId="0" borderId="4" xfId="61" applyNumberFormat="1" applyFont="1" applyBorder="1" applyAlignment="1">
      <alignment vertical="center"/>
    </xf>
    <xf numFmtId="38" fontId="4" fillId="0" borderId="5" xfId="61" applyNumberFormat="1" applyFont="1" applyBorder="1" applyAlignment="1">
      <alignment vertical="center"/>
    </xf>
    <xf numFmtId="38" fontId="4" fillId="0" borderId="6" xfId="61" applyNumberFormat="1" applyFont="1" applyBorder="1" applyAlignment="1" applyProtection="1">
      <alignment vertical="center"/>
      <protection/>
    </xf>
    <xf numFmtId="38" fontId="4" fillId="0" borderId="7" xfId="61" applyNumberFormat="1" applyFont="1" applyBorder="1" applyAlignment="1" applyProtection="1">
      <alignment vertical="center"/>
      <protection/>
    </xf>
    <xf numFmtId="38" fontId="4" fillId="0" borderId="5" xfId="61" applyNumberFormat="1" applyFont="1" applyBorder="1" applyAlignment="1" applyProtection="1">
      <alignment vertical="center"/>
      <protection/>
    </xf>
    <xf numFmtId="38" fontId="4" fillId="0" borderId="4" xfId="61" applyNumberFormat="1" applyFont="1" applyBorder="1" applyAlignment="1" applyProtection="1">
      <alignment vertical="center"/>
      <protection/>
    </xf>
    <xf numFmtId="38" fontId="6" fillId="0" borderId="14" xfId="61" applyNumberFormat="1" applyFont="1" applyBorder="1" applyAlignment="1" applyProtection="1" quotePrefix="1">
      <alignment vertical="center"/>
      <protection/>
    </xf>
    <xf numFmtId="37" fontId="4" fillId="0" borderId="0" xfId="195" applyNumberFormat="1" applyFont="1">
      <alignment/>
      <protection/>
    </xf>
    <xf numFmtId="38" fontId="4" fillId="0" borderId="16" xfId="61" applyNumberFormat="1" applyFont="1" applyBorder="1" applyAlignment="1" applyProtection="1">
      <alignment vertical="center"/>
      <protection/>
    </xf>
    <xf numFmtId="38" fontId="4" fillId="0" borderId="9" xfId="61" applyNumberFormat="1" applyFont="1" applyBorder="1" applyAlignment="1" applyProtection="1">
      <alignment vertical="center"/>
      <protection/>
    </xf>
    <xf numFmtId="37" fontId="4" fillId="0" borderId="0" xfId="195" applyFont="1" applyBorder="1" applyAlignment="1">
      <alignment vertical="center"/>
      <protection/>
    </xf>
    <xf numFmtId="38" fontId="4" fillId="0" borderId="10" xfId="61" applyNumberFormat="1" applyFont="1" applyBorder="1" applyAlignment="1" applyProtection="1">
      <alignment horizontal="fill" vertical="center"/>
      <protection/>
    </xf>
    <xf numFmtId="38" fontId="4" fillId="0" borderId="15" xfId="61" applyNumberFormat="1" applyFont="1" applyBorder="1" applyAlignment="1" applyProtection="1">
      <alignment horizontal="fill" vertical="center"/>
      <protection/>
    </xf>
    <xf numFmtId="38" fontId="4" fillId="0" borderId="17" xfId="61" applyNumberFormat="1" applyFont="1" applyBorder="1" applyAlignment="1">
      <alignment vertical="center"/>
    </xf>
    <xf numFmtId="38" fontId="4" fillId="0" borderId="8" xfId="61" applyNumberFormat="1" applyFont="1" applyBorder="1" applyAlignment="1" applyProtection="1">
      <alignment vertical="center"/>
      <protection/>
    </xf>
    <xf numFmtId="38" fontId="4" fillId="0" borderId="11" xfId="61" applyNumberFormat="1" applyFont="1" applyBorder="1" applyAlignment="1" applyProtection="1">
      <alignment vertical="center"/>
      <protection/>
    </xf>
    <xf numFmtId="182" fontId="4" fillId="0" borderId="0" xfId="61" applyNumberFormat="1" applyFont="1" applyAlignment="1" applyProtection="1">
      <alignment vertical="center"/>
      <protection/>
    </xf>
    <xf numFmtId="37" fontId="4" fillId="0" borderId="0" xfId="195" applyNumberFormat="1" applyFont="1" applyAlignment="1" applyProtection="1">
      <alignment vertical="center"/>
      <protection/>
    </xf>
    <xf numFmtId="37" fontId="4" fillId="0" borderId="0" xfId="195" applyFont="1" applyBorder="1">
      <alignment/>
      <protection/>
    </xf>
    <xf numFmtId="37" fontId="3" fillId="0" borderId="0" xfId="195" applyFont="1" applyAlignment="1" applyProtection="1">
      <alignment vertical="center"/>
      <protection/>
    </xf>
    <xf numFmtId="37" fontId="3" fillId="0" borderId="0" xfId="195" applyFont="1" applyAlignment="1">
      <alignment vertical="center"/>
      <protection/>
    </xf>
    <xf numFmtId="37" fontId="3" fillId="0" borderId="0" xfId="195" applyFont="1">
      <alignment/>
      <protection/>
    </xf>
    <xf numFmtId="37" fontId="8" fillId="0" borderId="0" xfId="195" applyFont="1" applyAlignment="1">
      <alignment vertical="center"/>
      <protection/>
    </xf>
    <xf numFmtId="37" fontId="5" fillId="0" borderId="0" xfId="195" applyFont="1" applyAlignment="1" applyProtection="1">
      <alignment vertical="center"/>
      <protection/>
    </xf>
    <xf numFmtId="37" fontId="8" fillId="0" borderId="0" xfId="195" applyFont="1">
      <alignment/>
      <protection/>
    </xf>
    <xf numFmtId="37" fontId="3" fillId="0" borderId="0" xfId="195" applyFont="1" applyAlignment="1" applyProtection="1" quotePrefix="1">
      <alignment vertical="center"/>
      <protection/>
    </xf>
    <xf numFmtId="0" fontId="6" fillId="0" borderId="0" xfId="60" applyNumberFormat="1" applyFont="1" applyAlignment="1">
      <alignment horizontal="right"/>
    </xf>
    <xf numFmtId="0" fontId="6" fillId="0" borderId="0" xfId="60" applyNumberFormat="1" applyFont="1" applyAlignment="1" applyProtection="1">
      <alignment horizontal="right"/>
      <protection/>
    </xf>
    <xf numFmtId="40" fontId="4" fillId="0" borderId="0" xfId="194" applyNumberFormat="1" applyFont="1" applyAlignment="1">
      <alignment/>
      <protection/>
    </xf>
    <xf numFmtId="38" fontId="4" fillId="0" borderId="0" xfId="60" applyNumberFormat="1" applyFont="1" applyAlignment="1" quotePrefix="1">
      <alignment/>
    </xf>
    <xf numFmtId="38" fontId="4" fillId="0" borderId="0" xfId="60" applyNumberFormat="1" applyFont="1" applyAlignment="1" applyProtection="1" quotePrefix="1">
      <alignment/>
      <protection/>
    </xf>
    <xf numFmtId="38" fontId="4" fillId="0" borderId="9" xfId="6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86" fontId="0" fillId="0" borderId="0" xfId="15" applyNumberForma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6" fontId="0" fillId="0" borderId="0" xfId="0" applyNumberFormat="1" applyAlignment="1">
      <alignment/>
    </xf>
    <xf numFmtId="0" fontId="0" fillId="0" borderId="0" xfId="0" applyFill="1" applyAlignment="1">
      <alignment/>
    </xf>
    <xf numFmtId="38" fontId="4" fillId="0" borderId="14" xfId="61" applyNumberFormat="1" applyFont="1" applyFill="1" applyBorder="1" applyAlignment="1">
      <alignment vertical="center"/>
    </xf>
    <xf numFmtId="38" fontId="4" fillId="0" borderId="6" xfId="61" applyNumberFormat="1" applyFont="1" applyFill="1" applyBorder="1" applyAlignment="1">
      <alignment vertical="center"/>
    </xf>
    <xf numFmtId="38" fontId="4" fillId="0" borderId="7" xfId="61" applyNumberFormat="1" applyFont="1" applyFill="1" applyBorder="1" applyAlignment="1" applyProtection="1">
      <alignment vertical="center"/>
      <protection/>
    </xf>
    <xf numFmtId="38" fontId="4" fillId="0" borderId="0" xfId="61" applyNumberFormat="1" applyFont="1" applyFill="1" applyAlignment="1">
      <alignment vertical="center"/>
    </xf>
    <xf numFmtId="38" fontId="4" fillId="0" borderId="0" xfId="61" applyNumberFormat="1" applyFont="1" applyFill="1" applyBorder="1" applyAlignment="1">
      <alignment vertical="center"/>
    </xf>
    <xf numFmtId="37" fontId="4" fillId="0" borderId="0" xfId="195" applyFont="1" applyFill="1">
      <alignment/>
      <protection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186" fontId="13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186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37" fontId="9" fillId="0" borderId="0" xfId="195" applyFont="1" applyBorder="1" applyAlignment="1">
      <alignment vertical="center"/>
      <protection/>
    </xf>
    <xf numFmtId="37" fontId="7" fillId="0" borderId="0" xfId="195" applyFont="1" applyBorder="1" applyAlignment="1">
      <alignment horizontal="centerContinuous" vertical="center"/>
      <protection/>
    </xf>
    <xf numFmtId="0" fontId="4" fillId="0" borderId="0" xfId="0" applyFont="1" applyAlignment="1">
      <alignment/>
    </xf>
    <xf numFmtId="38" fontId="4" fillId="0" borderId="3" xfId="15" applyNumberFormat="1" applyFont="1" applyBorder="1" applyAlignment="1" applyProtection="1">
      <alignment horizontal="fill"/>
      <protection/>
    </xf>
    <xf numFmtId="38" fontId="22" fillId="0" borderId="7" xfId="15" applyNumberFormat="1" applyFont="1" applyBorder="1" applyAlignment="1" applyProtection="1">
      <alignment/>
      <protection/>
    </xf>
    <xf numFmtId="38" fontId="4" fillId="0" borderId="4" xfId="15" applyNumberFormat="1" applyFont="1" applyBorder="1" applyAlignment="1" applyProtection="1">
      <alignment/>
      <protection/>
    </xf>
    <xf numFmtId="38" fontId="22" fillId="0" borderId="7" xfId="15" applyNumberFormat="1" applyFont="1" applyBorder="1" applyAlignment="1" applyProtection="1">
      <alignment horizontal="right"/>
      <protection/>
    </xf>
    <xf numFmtId="38" fontId="4" fillId="0" borderId="7" xfId="15" applyNumberFormat="1" applyFont="1" applyBorder="1" applyAlignment="1" applyProtection="1">
      <alignment horizontal="right"/>
      <protection/>
    </xf>
    <xf numFmtId="38" fontId="4" fillId="0" borderId="7" xfId="15" applyNumberFormat="1" applyFont="1" applyBorder="1" applyAlignment="1" applyProtection="1">
      <alignment/>
      <protection/>
    </xf>
    <xf numFmtId="38" fontId="4" fillId="0" borderId="7" xfId="15" applyNumberFormat="1" applyFont="1" applyBorder="1" applyAlignment="1">
      <alignment/>
    </xf>
    <xf numFmtId="38" fontId="22" fillId="0" borderId="7" xfId="15" applyNumberFormat="1" applyFont="1" applyBorder="1" applyAlignment="1">
      <alignment/>
    </xf>
    <xf numFmtId="38" fontId="4" fillId="0" borderId="3" xfId="15" applyNumberFormat="1" applyFont="1" applyBorder="1" applyAlignment="1">
      <alignment/>
    </xf>
    <xf numFmtId="38" fontId="22" fillId="0" borderId="6" xfId="15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38" fontId="4" fillId="0" borderId="6" xfId="15" applyNumberFormat="1" applyFont="1" applyBorder="1" applyAlignment="1" applyProtection="1">
      <alignment horizontal="fill"/>
      <protection/>
    </xf>
    <xf numFmtId="38" fontId="4" fillId="0" borderId="2" xfId="60" applyNumberFormat="1" applyFont="1" applyBorder="1" applyAlignment="1" applyProtection="1">
      <alignment/>
      <protection/>
    </xf>
    <xf numFmtId="38" fontId="22" fillId="0" borderId="6" xfId="15" applyNumberFormat="1" applyFont="1" applyBorder="1" applyAlignment="1" applyProtection="1">
      <alignment horizontal="right"/>
      <protection/>
    </xf>
    <xf numFmtId="38" fontId="4" fillId="0" borderId="6" xfId="15" applyNumberFormat="1" applyFont="1" applyBorder="1" applyAlignment="1" applyProtection="1">
      <alignment horizontal="right"/>
      <protection/>
    </xf>
    <xf numFmtId="38" fontId="4" fillId="0" borderId="6" xfId="15" applyNumberFormat="1" applyFont="1" applyBorder="1" applyAlignment="1" applyProtection="1">
      <alignment/>
      <protection/>
    </xf>
    <xf numFmtId="38" fontId="4" fillId="0" borderId="6" xfId="15" applyNumberFormat="1" applyFont="1" applyBorder="1" applyAlignment="1">
      <alignment/>
    </xf>
    <xf numFmtId="38" fontId="22" fillId="0" borderId="6" xfId="15" applyNumberFormat="1" applyFont="1" applyBorder="1" applyAlignment="1">
      <alignment/>
    </xf>
    <xf numFmtId="38" fontId="22" fillId="0" borderId="4" xfId="15" applyNumberFormat="1" applyFont="1" applyBorder="1" applyAlignment="1" applyProtection="1">
      <alignment/>
      <protection/>
    </xf>
    <xf numFmtId="0" fontId="6" fillId="0" borderId="2" xfId="15" applyNumberFormat="1" applyFont="1" applyBorder="1" applyAlignment="1">
      <alignment horizontal="center"/>
    </xf>
    <xf numFmtId="38" fontId="6" fillId="0" borderId="4" xfId="15" applyNumberFormat="1" applyFont="1" applyBorder="1" applyAlignment="1">
      <alignment horizontal="center"/>
    </xf>
    <xf numFmtId="38" fontId="22" fillId="0" borderId="6" xfId="15" applyNumberFormat="1" applyFont="1" applyFill="1" applyBorder="1" applyAlignment="1" applyProtection="1">
      <alignment/>
      <protection/>
    </xf>
    <xf numFmtId="38" fontId="4" fillId="0" borderId="0" xfId="15" applyNumberFormat="1" applyFont="1" applyBorder="1" applyAlignment="1" applyProtection="1" quotePrefix="1">
      <alignment horizontal="left"/>
      <protection/>
    </xf>
    <xf numFmtId="0" fontId="0" fillId="0" borderId="4" xfId="0" applyBorder="1" applyAlignment="1">
      <alignment/>
    </xf>
    <xf numFmtId="38" fontId="4" fillId="0" borderId="0" xfId="194" applyNumberFormat="1" applyFont="1" applyAlignment="1">
      <alignment/>
      <protection/>
    </xf>
    <xf numFmtId="38" fontId="4" fillId="0" borderId="0" xfId="194" applyNumberFormat="1" applyFont="1" applyBorder="1" applyAlignment="1">
      <alignment/>
      <protection/>
    </xf>
    <xf numFmtId="37" fontId="3" fillId="0" borderId="0" xfId="195" applyFont="1" applyFill="1" applyBorder="1" applyAlignment="1">
      <alignment vertical="center"/>
      <protection/>
    </xf>
    <xf numFmtId="37" fontId="3" fillId="0" borderId="0" xfId="195" applyFont="1" applyFill="1" applyAlignment="1">
      <alignment vertical="center"/>
      <protection/>
    </xf>
    <xf numFmtId="0" fontId="4" fillId="0" borderId="0" xfId="60" applyNumberFormat="1" applyFont="1" applyFill="1" applyAlignment="1">
      <alignment/>
    </xf>
    <xf numFmtId="38" fontId="4" fillId="0" borderId="7" xfId="60" applyNumberFormat="1" applyFont="1" applyFill="1" applyBorder="1" applyAlignment="1" applyProtection="1">
      <alignment/>
      <protection/>
    </xf>
    <xf numFmtId="37" fontId="4" fillId="0" borderId="0" xfId="195" applyFont="1" applyFill="1" applyAlignment="1">
      <alignment vertical="center"/>
      <protection/>
    </xf>
    <xf numFmtId="37" fontId="7" fillId="0" borderId="4" xfId="195" applyFont="1" applyBorder="1" applyAlignment="1" applyProtection="1" quotePrefix="1">
      <alignment horizontal="center" vertical="center"/>
      <protection/>
    </xf>
    <xf numFmtId="43" fontId="4" fillId="0" borderId="0" xfId="15" applyFont="1" applyAlignment="1">
      <alignment/>
    </xf>
    <xf numFmtId="43" fontId="3" fillId="0" borderId="0" xfId="15" applyFont="1" applyAlignment="1">
      <alignment/>
    </xf>
    <xf numFmtId="173" fontId="3" fillId="0" borderId="0" xfId="195" applyNumberFormat="1" applyFont="1">
      <alignment/>
      <protection/>
    </xf>
    <xf numFmtId="356" fontId="8" fillId="0" borderId="0" xfId="15" applyNumberFormat="1" applyFont="1" applyAlignment="1">
      <alignment/>
    </xf>
    <xf numFmtId="186" fontId="4" fillId="0" borderId="0" xfId="15" applyNumberFormat="1" applyFont="1" applyBorder="1" applyAlignment="1">
      <alignment/>
    </xf>
    <xf numFmtId="43" fontId="0" fillId="0" borderId="0" xfId="15" applyAlignment="1">
      <alignment/>
    </xf>
    <xf numFmtId="37" fontId="8" fillId="0" borderId="0" xfId="195" applyFont="1" applyFill="1" applyAlignment="1">
      <alignment vertical="center"/>
      <protection/>
    </xf>
    <xf numFmtId="0" fontId="4" fillId="0" borderId="18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 quotePrefix="1">
      <alignment horizontal="center"/>
      <protection/>
    </xf>
    <xf numFmtId="0" fontId="4" fillId="0" borderId="0" xfId="60" applyNumberFormat="1" applyFont="1" applyFill="1" applyAlignment="1" applyProtection="1">
      <alignment horizontal="center"/>
      <protection/>
    </xf>
    <xf numFmtId="0" fontId="4" fillId="0" borderId="0" xfId="60" applyNumberFormat="1" applyFont="1" applyFill="1" applyAlignment="1">
      <alignment horizontal="center"/>
    </xf>
    <xf numFmtId="0" fontId="4" fillId="0" borderId="0" xfId="15" applyNumberFormat="1" applyFont="1" applyFill="1" applyBorder="1" applyAlignment="1" quotePrefix="1">
      <alignment horizontal="center"/>
    </xf>
    <xf numFmtId="0" fontId="6" fillId="0" borderId="0" xfId="60" applyNumberFormat="1" applyFont="1" applyFill="1" applyAlignment="1" applyProtection="1">
      <alignment horizontal="center"/>
      <protection/>
    </xf>
    <xf numFmtId="0" fontId="4" fillId="0" borderId="0" xfId="194" applyNumberFormat="1" applyFont="1" applyFill="1" applyBorder="1" applyAlignment="1">
      <alignment/>
      <protection/>
    </xf>
    <xf numFmtId="37" fontId="8" fillId="0" borderId="0" xfId="195" applyFont="1" applyFill="1" applyBorder="1" applyAlignment="1">
      <alignment vertical="center"/>
      <protection/>
    </xf>
    <xf numFmtId="37" fontId="4" fillId="0" borderId="0" xfId="195" applyFont="1" applyFill="1" applyAlignment="1">
      <alignment horizontal="center" vertical="center"/>
      <protection/>
    </xf>
    <xf numFmtId="18" fontId="4" fillId="0" borderId="0" xfId="195" applyNumberFormat="1" applyFont="1" applyFill="1" applyAlignment="1">
      <alignment horizontal="center" vertical="center"/>
      <protection/>
    </xf>
    <xf numFmtId="15" fontId="4" fillId="0" borderId="0" xfId="195" applyNumberFormat="1" applyFont="1" applyFill="1" applyAlignment="1">
      <alignment horizontal="center" vertical="center"/>
      <protection/>
    </xf>
    <xf numFmtId="170" fontId="4" fillId="0" borderId="0" xfId="195" applyNumberFormat="1" applyFont="1" applyFill="1" applyAlignment="1" applyProtection="1">
      <alignment horizontal="center" vertical="center"/>
      <protection/>
    </xf>
    <xf numFmtId="37" fontId="4" fillId="0" borderId="0" xfId="195" applyFont="1" applyFill="1" applyAlignment="1">
      <alignment horizontal="center"/>
      <protection/>
    </xf>
    <xf numFmtId="0" fontId="6" fillId="0" borderId="0" xfId="60" applyNumberFormat="1" applyFont="1" applyFill="1" applyAlignment="1" applyProtection="1">
      <alignment/>
      <protection/>
    </xf>
    <xf numFmtId="38" fontId="4" fillId="0" borderId="0" xfId="60" applyNumberFormat="1" applyFont="1" applyFill="1" applyAlignment="1" applyProtection="1">
      <alignment/>
      <protection/>
    </xf>
    <xf numFmtId="40" fontId="4" fillId="0" borderId="0" xfId="60" applyNumberFormat="1" applyFont="1" applyFill="1" applyAlignment="1">
      <alignment/>
    </xf>
    <xf numFmtId="38" fontId="4" fillId="0" borderId="0" xfId="194" applyNumberFormat="1" applyFont="1" applyFill="1" applyAlignment="1">
      <alignment/>
      <protection/>
    </xf>
    <xf numFmtId="0" fontId="4" fillId="0" borderId="0" xfId="194" applyNumberFormat="1" applyFont="1" applyFill="1" applyAlignment="1">
      <alignment/>
      <protection/>
    </xf>
    <xf numFmtId="38" fontId="4" fillId="0" borderId="6" xfId="61" applyNumberFormat="1" applyFont="1" applyBorder="1" applyAlignment="1" applyProtection="1" quotePrefix="1">
      <alignment vertical="center"/>
      <protection/>
    </xf>
    <xf numFmtId="0" fontId="0" fillId="0" borderId="0" xfId="0" applyBorder="1" applyAlignment="1">
      <alignment/>
    </xf>
    <xf numFmtId="37" fontId="7" fillId="0" borderId="0" xfId="194" applyFont="1" applyBorder="1" applyAlignment="1" applyProtection="1">
      <alignment horizontal="center" vertical="center"/>
      <protection/>
    </xf>
    <xf numFmtId="0" fontId="6" fillId="0" borderId="0" xfId="60" applyNumberFormat="1" applyFont="1" applyBorder="1" applyAlignment="1" applyProtection="1">
      <alignment horizontal="center"/>
      <protection/>
    </xf>
    <xf numFmtId="37" fontId="7" fillId="0" borderId="0" xfId="194" applyFont="1" applyBorder="1" applyAlignment="1" applyProtection="1" quotePrefix="1">
      <alignment horizontal="center" vertical="center"/>
      <protection/>
    </xf>
    <xf numFmtId="38" fontId="6" fillId="0" borderId="0" xfId="60" applyNumberFormat="1" applyFont="1" applyBorder="1" applyAlignment="1" applyProtection="1">
      <alignment/>
      <protection/>
    </xf>
    <xf numFmtId="38" fontId="4" fillId="0" borderId="0" xfId="60" applyNumberFormat="1" applyFont="1" applyBorder="1" applyAlignment="1">
      <alignment/>
    </xf>
    <xf numFmtId="38" fontId="4" fillId="0" borderId="0" xfId="60" applyNumberFormat="1" applyFont="1" applyFill="1" applyBorder="1" applyAlignment="1" applyProtection="1">
      <alignment/>
      <protection/>
    </xf>
    <xf numFmtId="39" fontId="8" fillId="0" borderId="0" xfId="195" applyNumberFormat="1" applyFont="1" applyAlignment="1">
      <alignment vertical="center"/>
      <protection/>
    </xf>
    <xf numFmtId="38" fontId="6" fillId="0" borderId="14" xfId="61" applyNumberFormat="1" applyFont="1" applyFill="1" applyBorder="1" applyAlignment="1" applyProtection="1">
      <alignment vertical="center"/>
      <protection/>
    </xf>
    <xf numFmtId="38" fontId="4" fillId="0" borderId="6" xfId="61" applyNumberFormat="1" applyFont="1" applyFill="1" applyBorder="1" applyAlignment="1" applyProtection="1">
      <alignment vertical="center"/>
      <protection/>
    </xf>
    <xf numFmtId="38" fontId="4" fillId="0" borderId="4" xfId="61" applyNumberFormat="1" applyFont="1" applyFill="1" applyBorder="1" applyAlignment="1" applyProtection="1">
      <alignment vertical="center"/>
      <protection/>
    </xf>
    <xf numFmtId="38" fontId="4" fillId="0" borderId="0" xfId="61" applyNumberFormat="1" applyFont="1" applyFill="1" applyAlignment="1" applyProtection="1">
      <alignment vertical="center"/>
      <protection/>
    </xf>
    <xf numFmtId="38" fontId="6" fillId="0" borderId="6" xfId="61" applyNumberFormat="1" applyFont="1" applyFill="1" applyBorder="1" applyAlignment="1" applyProtection="1">
      <alignment vertical="center"/>
      <protection/>
    </xf>
    <xf numFmtId="38" fontId="4" fillId="0" borderId="0" xfId="61" applyNumberFormat="1" applyFont="1" applyFill="1" applyBorder="1" applyAlignment="1" applyProtection="1">
      <alignment vertical="center"/>
      <protection/>
    </xf>
    <xf numFmtId="38" fontId="4" fillId="0" borderId="5" xfId="61" applyNumberFormat="1" applyFont="1" applyFill="1" applyBorder="1" applyAlignment="1" applyProtection="1">
      <alignment vertical="center"/>
      <protection/>
    </xf>
    <xf numFmtId="43" fontId="4" fillId="0" borderId="0" xfId="15" applyFont="1" applyAlignment="1" applyProtection="1">
      <alignment/>
      <protection/>
    </xf>
    <xf numFmtId="43" fontId="4" fillId="0" borderId="0" xfId="15" applyFont="1" applyAlignment="1">
      <alignment/>
    </xf>
    <xf numFmtId="43" fontId="4" fillId="0" borderId="0" xfId="15" applyFont="1" applyFill="1" applyAlignment="1" applyProtection="1">
      <alignment/>
      <protection/>
    </xf>
    <xf numFmtId="43" fontId="4" fillId="0" borderId="0" xfId="15" applyFont="1" applyBorder="1" applyAlignment="1">
      <alignment/>
    </xf>
    <xf numFmtId="186" fontId="4" fillId="0" borderId="0" xfId="15" applyNumberFormat="1" applyFont="1" applyAlignment="1">
      <alignment/>
    </xf>
    <xf numFmtId="186" fontId="4" fillId="0" borderId="0" xfId="15" applyNumberFormat="1" applyFont="1" applyFill="1" applyAlignment="1">
      <alignment/>
    </xf>
    <xf numFmtId="38" fontId="6" fillId="0" borderId="14" xfId="15" applyNumberFormat="1" applyFont="1" applyBorder="1" applyAlignment="1" applyProtection="1" quotePrefix="1">
      <alignment horizontal="left"/>
      <protection/>
    </xf>
    <xf numFmtId="38" fontId="22" fillId="0" borderId="0" xfId="15" applyNumberFormat="1" applyFont="1" applyBorder="1" applyAlignment="1" applyProtection="1">
      <alignment/>
      <protection/>
    </xf>
    <xf numFmtId="38" fontId="4" fillId="0" borderId="14" xfId="15" applyNumberFormat="1" applyFont="1" applyBorder="1" applyAlignment="1" applyProtection="1" quotePrefix="1">
      <alignment horizontal="left"/>
      <protection/>
    </xf>
    <xf numFmtId="40" fontId="4" fillId="0" borderId="19" xfId="60" applyNumberFormat="1" applyFont="1" applyBorder="1" applyAlignment="1">
      <alignment/>
    </xf>
    <xf numFmtId="0" fontId="4" fillId="0" borderId="0" xfId="60" applyNumberFormat="1" applyFont="1" applyBorder="1" applyAlignment="1">
      <alignment/>
    </xf>
    <xf numFmtId="37" fontId="4" fillId="0" borderId="3" xfId="195" applyFont="1" applyBorder="1" applyAlignment="1">
      <alignment vertical="center"/>
      <protection/>
    </xf>
    <xf numFmtId="37" fontId="4" fillId="0" borderId="15" xfId="195" applyFont="1" applyBorder="1" applyAlignment="1">
      <alignment vertical="center"/>
      <protection/>
    </xf>
    <xf numFmtId="37" fontId="7" fillId="0" borderId="13" xfId="195" applyFont="1" applyBorder="1" applyAlignment="1" applyProtection="1">
      <alignment horizontal="left" vertical="center"/>
      <protection/>
    </xf>
    <xf numFmtId="37" fontId="6" fillId="0" borderId="0" xfId="195" applyFont="1" applyBorder="1">
      <alignment/>
      <protection/>
    </xf>
    <xf numFmtId="38" fontId="4" fillId="0" borderId="2" xfId="61" applyNumberFormat="1" applyFont="1" applyBorder="1" applyAlignment="1" applyProtection="1">
      <alignment horizontal="fill" vertical="center"/>
      <protection/>
    </xf>
    <xf numFmtId="0" fontId="6" fillId="0" borderId="6" xfId="60" applyNumberFormat="1" applyFont="1" applyBorder="1" applyAlignment="1" applyProtection="1">
      <alignment horizontal="center"/>
      <protection/>
    </xf>
    <xf numFmtId="38" fontId="4" fillId="0" borderId="14" xfId="60" applyNumberFormat="1" applyFont="1" applyBorder="1" applyAlignment="1" applyProtection="1">
      <alignment/>
      <protection/>
    </xf>
    <xf numFmtId="37" fontId="4" fillId="0" borderId="6" xfId="195" applyFont="1" applyBorder="1">
      <alignment/>
      <protection/>
    </xf>
    <xf numFmtId="37" fontId="4" fillId="0" borderId="14" xfId="195" applyFont="1" applyBorder="1">
      <alignment/>
      <protection/>
    </xf>
    <xf numFmtId="37" fontId="4" fillId="0" borderId="4" xfId="195" applyFont="1" applyBorder="1">
      <alignment/>
      <protection/>
    </xf>
    <xf numFmtId="37" fontId="7" fillId="0" borderId="6" xfId="194" applyFont="1" applyBorder="1" applyAlignment="1" applyProtection="1">
      <alignment horizontal="center" vertical="center"/>
      <protection/>
    </xf>
    <xf numFmtId="38" fontId="6" fillId="0" borderId="6" xfId="15" applyNumberFormat="1" applyFont="1" applyBorder="1" applyAlignment="1">
      <alignment horizontal="center"/>
    </xf>
    <xf numFmtId="37" fontId="7" fillId="0" borderId="6" xfId="195" applyFont="1" applyBorder="1" applyAlignment="1" applyProtection="1">
      <alignment horizontal="center" vertical="center"/>
      <protection/>
    </xf>
    <xf numFmtId="38" fontId="4" fillId="0" borderId="6" xfId="60" applyNumberFormat="1" applyFont="1" applyFill="1" applyBorder="1" applyAlignment="1" applyProtection="1">
      <alignment/>
      <protection/>
    </xf>
    <xf numFmtId="38" fontId="4" fillId="0" borderId="2" xfId="61" applyNumberFormat="1" applyFont="1" applyBorder="1" applyAlignment="1" applyProtection="1">
      <alignment horizontal="right" vertical="center"/>
      <protection/>
    </xf>
    <xf numFmtId="37" fontId="4" fillId="0" borderId="20" xfId="195" applyFont="1" applyBorder="1">
      <alignment/>
      <protection/>
    </xf>
    <xf numFmtId="37" fontId="4" fillId="0" borderId="21" xfId="195" applyFont="1" applyBorder="1" applyAlignment="1">
      <alignment vertical="center"/>
      <protection/>
    </xf>
    <xf numFmtId="38" fontId="6" fillId="0" borderId="2" xfId="61" applyNumberFormat="1" applyFont="1" applyBorder="1" applyAlignment="1" applyProtection="1">
      <alignment vertical="center"/>
      <protection/>
    </xf>
    <xf numFmtId="0" fontId="4" fillId="0" borderId="6" xfId="60" applyNumberFormat="1" applyFont="1" applyBorder="1" applyAlignment="1">
      <alignment/>
    </xf>
    <xf numFmtId="37" fontId="4" fillId="0" borderId="10" xfId="195" applyFont="1" applyBorder="1" applyAlignment="1">
      <alignment vertical="center"/>
      <protection/>
    </xf>
    <xf numFmtId="0" fontId="0" fillId="0" borderId="6" xfId="0" applyBorder="1" applyAlignment="1">
      <alignment/>
    </xf>
    <xf numFmtId="37" fontId="6" fillId="0" borderId="6" xfId="195" applyFont="1" applyBorder="1">
      <alignment/>
      <protection/>
    </xf>
    <xf numFmtId="0" fontId="4" fillId="0" borderId="14" xfId="60" applyNumberFormat="1" applyFont="1" applyBorder="1" applyAlignment="1">
      <alignment/>
    </xf>
    <xf numFmtId="0" fontId="0" fillId="0" borderId="14" xfId="0" applyBorder="1" applyAlignment="1">
      <alignment/>
    </xf>
    <xf numFmtId="37" fontId="6" fillId="0" borderId="14" xfId="195" applyFont="1" applyBorder="1">
      <alignment/>
      <protection/>
    </xf>
    <xf numFmtId="37" fontId="21" fillId="0" borderId="6" xfId="194" applyFont="1" applyBorder="1" applyAlignment="1" applyProtection="1">
      <alignment horizontal="right" vertical="center"/>
      <protection/>
    </xf>
    <xf numFmtId="49" fontId="4" fillId="0" borderId="0" xfId="60" applyNumberFormat="1" applyFont="1" applyAlignment="1">
      <alignment/>
    </xf>
    <xf numFmtId="186" fontId="4" fillId="0" borderId="0" xfId="194" applyNumberFormat="1" applyFont="1" applyAlignment="1">
      <alignment/>
      <protection/>
    </xf>
    <xf numFmtId="38" fontId="4" fillId="0" borderId="22" xfId="194" applyNumberFormat="1" applyFont="1" applyBorder="1" applyAlignment="1">
      <alignment/>
      <protection/>
    </xf>
    <xf numFmtId="0" fontId="4" fillId="0" borderId="0" xfId="194" applyNumberFormat="1" applyFont="1" applyAlignment="1" quotePrefix="1">
      <alignment/>
      <protection/>
    </xf>
    <xf numFmtId="38" fontId="4" fillId="2" borderId="5" xfId="61" applyNumberFormat="1" applyFont="1" applyFill="1" applyBorder="1" applyAlignment="1" applyProtection="1">
      <alignment vertical="center"/>
      <protection/>
    </xf>
    <xf numFmtId="38" fontId="4" fillId="0" borderId="8" xfId="61" applyNumberFormat="1" applyFont="1" applyFill="1" applyBorder="1" applyAlignment="1" applyProtection="1">
      <alignment vertical="center"/>
      <protection/>
    </xf>
    <xf numFmtId="38" fontId="4" fillId="3" borderId="8" xfId="61" applyNumberFormat="1" applyFont="1" applyFill="1" applyBorder="1" applyAlignment="1" applyProtection="1">
      <alignment vertical="center"/>
      <protection/>
    </xf>
    <xf numFmtId="37" fontId="4" fillId="0" borderId="5" xfId="195" applyFont="1" applyBorder="1" applyAlignment="1">
      <alignment vertical="center"/>
      <protection/>
    </xf>
    <xf numFmtId="38" fontId="4" fillId="0" borderId="6" xfId="60" applyNumberFormat="1" applyFont="1" applyBorder="1" applyAlignment="1" applyProtection="1">
      <alignment horizontal="right"/>
      <protection/>
    </xf>
    <xf numFmtId="37" fontId="4" fillId="0" borderId="6" xfId="195" applyFont="1" applyBorder="1" applyAlignment="1">
      <alignment horizontal="right"/>
      <protection/>
    </xf>
    <xf numFmtId="0" fontId="4" fillId="0" borderId="6" xfId="60" applyNumberFormat="1" applyFont="1" applyBorder="1" applyAlignment="1">
      <alignment horizontal="right"/>
    </xf>
    <xf numFmtId="9" fontId="4" fillId="0" borderId="0" xfId="227" applyFont="1" applyBorder="1" applyAlignment="1">
      <alignment/>
    </xf>
    <xf numFmtId="37" fontId="4" fillId="0" borderId="16" xfId="195" applyFont="1" applyBorder="1">
      <alignment/>
      <protection/>
    </xf>
    <xf numFmtId="0" fontId="0" fillId="0" borderId="5" xfId="0" applyBorder="1" applyAlignment="1">
      <alignment/>
    </xf>
    <xf numFmtId="37" fontId="7" fillId="0" borderId="7" xfId="195" applyFont="1" applyBorder="1" applyAlignment="1" applyProtection="1">
      <alignment horizontal="center" vertical="center"/>
      <protection/>
    </xf>
    <xf numFmtId="37" fontId="7" fillId="0" borderId="14" xfId="195" applyFont="1" applyBorder="1" applyAlignment="1" applyProtection="1">
      <alignment horizontal="center" vertical="center"/>
      <protection/>
    </xf>
    <xf numFmtId="37" fontId="7" fillId="0" borderId="7" xfId="195" applyFont="1" applyBorder="1" applyAlignment="1" applyProtection="1" quotePrefix="1">
      <alignment horizontal="center" vertical="center"/>
      <protection/>
    </xf>
    <xf numFmtId="37" fontId="7" fillId="0" borderId="0" xfId="195" applyFont="1" applyBorder="1" applyAlignment="1" applyProtection="1" quotePrefix="1">
      <alignment horizontal="center" vertical="center"/>
      <protection/>
    </xf>
    <xf numFmtId="37" fontId="7" fillId="0" borderId="0" xfId="195" applyFont="1" applyBorder="1" applyAlignment="1">
      <alignment vertical="center"/>
      <protection/>
    </xf>
    <xf numFmtId="37" fontId="21" fillId="0" borderId="6" xfId="194" applyFont="1" applyBorder="1" applyAlignment="1" applyProtection="1" quotePrefix="1">
      <alignment horizontal="right" vertical="center"/>
      <protection/>
    </xf>
    <xf numFmtId="38" fontId="6" fillId="0" borderId="12" xfId="60" applyNumberFormat="1" applyFont="1" applyBorder="1" applyAlignment="1" applyProtection="1">
      <alignment/>
      <protection/>
    </xf>
    <xf numFmtId="38" fontId="4" fillId="0" borderId="14" xfId="194" applyNumberFormat="1" applyFont="1" applyBorder="1" applyAlignment="1">
      <alignment/>
      <protection/>
    </xf>
    <xf numFmtId="38" fontId="6" fillId="0" borderId="14" xfId="60" applyNumberFormat="1" applyFont="1" applyBorder="1" applyAlignment="1" applyProtection="1">
      <alignment/>
      <protection/>
    </xf>
    <xf numFmtId="38" fontId="4" fillId="0" borderId="14" xfId="60" applyNumberFormat="1" applyFont="1" applyBorder="1" applyAlignment="1">
      <alignment/>
    </xf>
    <xf numFmtId="38" fontId="4" fillId="0" borderId="17" xfId="60" applyNumberFormat="1" applyFont="1" applyBorder="1" applyAlignment="1">
      <alignment/>
    </xf>
    <xf numFmtId="38" fontId="4" fillId="0" borderId="16" xfId="60" applyNumberFormat="1" applyFont="1" applyBorder="1" applyAlignment="1" applyProtection="1">
      <alignment/>
      <protection/>
    </xf>
    <xf numFmtId="0" fontId="6" fillId="0" borderId="14" xfId="194" applyNumberFormat="1" applyFont="1" applyBorder="1" applyAlignment="1">
      <alignment/>
      <protection/>
    </xf>
    <xf numFmtId="0" fontId="4" fillId="0" borderId="14" xfId="194" applyNumberFormat="1" applyFont="1" applyBorder="1" applyAlignment="1">
      <alignment/>
      <protection/>
    </xf>
    <xf numFmtId="37" fontId="4" fillId="0" borderId="23" xfId="195" applyFont="1" applyBorder="1" applyAlignment="1">
      <alignment vertical="center"/>
      <protection/>
    </xf>
    <xf numFmtId="38" fontId="6" fillId="0" borderId="23" xfId="61" applyNumberFormat="1" applyFont="1" applyBorder="1" applyAlignment="1" applyProtection="1">
      <alignment vertical="center"/>
      <protection/>
    </xf>
    <xf numFmtId="38" fontId="4" fillId="3" borderId="0" xfId="61" applyNumberFormat="1" applyFont="1" applyFill="1" applyBorder="1" applyAlignment="1" applyProtection="1">
      <alignment vertical="center"/>
      <protection/>
    </xf>
    <xf numFmtId="37" fontId="4" fillId="0" borderId="7" xfId="195" applyFont="1" applyBorder="1" applyAlignment="1">
      <alignment vertical="center"/>
      <protection/>
    </xf>
    <xf numFmtId="0" fontId="0" fillId="0" borderId="7" xfId="0" applyBorder="1" applyAlignment="1">
      <alignment/>
    </xf>
    <xf numFmtId="37" fontId="7" fillId="0" borderId="14" xfId="195" applyFont="1" applyBorder="1" applyAlignment="1" applyProtection="1">
      <alignment horizontal="left" vertical="center"/>
      <protection/>
    </xf>
    <xf numFmtId="37" fontId="4" fillId="0" borderId="13" xfId="195" applyFont="1" applyBorder="1">
      <alignment/>
      <protection/>
    </xf>
    <xf numFmtId="38" fontId="4" fillId="0" borderId="0" xfId="61" applyNumberFormat="1" applyFont="1" applyBorder="1" applyAlignment="1" applyProtection="1" quotePrefix="1">
      <alignment vertical="center"/>
      <protection/>
    </xf>
    <xf numFmtId="37" fontId="7" fillId="0" borderId="0" xfId="195" applyFont="1" applyFill="1" applyAlignment="1">
      <alignment vertical="center"/>
      <protection/>
    </xf>
    <xf numFmtId="37" fontId="4" fillId="0" borderId="0" xfId="195" applyFont="1" applyFill="1" applyBorder="1" applyAlignment="1">
      <alignment vertical="center"/>
      <protection/>
    </xf>
    <xf numFmtId="37" fontId="4" fillId="0" borderId="0" xfId="195" applyFont="1" applyFill="1" applyBorder="1">
      <alignment/>
      <protection/>
    </xf>
    <xf numFmtId="0" fontId="6" fillId="0" borderId="0" xfId="60" applyNumberFormat="1" applyFont="1" applyFill="1" applyBorder="1" applyAlignment="1" applyProtection="1">
      <alignment horizontal="center"/>
      <protection/>
    </xf>
    <xf numFmtId="37" fontId="7" fillId="0" borderId="0" xfId="195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Font="1" applyBorder="1" applyAlignment="1" quotePrefix="1">
      <alignment horizontal="left"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13" fillId="0" borderId="0" xfId="0" applyFont="1" applyBorder="1" applyAlignment="1">
      <alignment/>
    </xf>
    <xf numFmtId="15" fontId="3" fillId="0" borderId="0" xfId="0" applyNumberFormat="1" applyFont="1" applyAlignment="1" quotePrefix="1">
      <alignment horizontal="center"/>
    </xf>
    <xf numFmtId="0" fontId="13" fillId="0" borderId="9" xfId="0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0" fillId="0" borderId="5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14" xfId="0" applyFont="1" applyBorder="1" applyAlignment="1" quotePrefix="1">
      <alignment horizontal="left"/>
    </xf>
    <xf numFmtId="0" fontId="0" fillId="0" borderId="24" xfId="0" applyFont="1" applyBorder="1" applyAlignment="1" quotePrefix="1">
      <alignment horizontal="left"/>
    </xf>
    <xf numFmtId="0" fontId="13" fillId="0" borderId="22" xfId="0" applyFont="1" applyBorder="1" applyAlignment="1">
      <alignment/>
    </xf>
    <xf numFmtId="0" fontId="0" fillId="0" borderId="22" xfId="0" applyFont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186" fontId="0" fillId="0" borderId="0" xfId="15" applyNumberFormat="1" applyFont="1" applyFill="1" applyAlignment="1">
      <alignment/>
    </xf>
    <xf numFmtId="185" fontId="0" fillId="0" borderId="0" xfId="15" applyNumberFormat="1" applyFont="1" applyFill="1" applyAlignment="1">
      <alignment/>
    </xf>
    <xf numFmtId="0" fontId="13" fillId="0" borderId="24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3" borderId="2" xfId="0" applyFont="1" applyFill="1" applyBorder="1" applyAlignment="1">
      <alignment horizontal="right"/>
    </xf>
    <xf numFmtId="186" fontId="0" fillId="3" borderId="6" xfId="15" applyNumberFormat="1" applyFont="1" applyFill="1" applyBorder="1" applyAlignment="1">
      <alignment/>
    </xf>
    <xf numFmtId="186" fontId="0" fillId="3" borderId="4" xfId="15" applyNumberFormat="1" applyFont="1" applyFill="1" applyBorder="1" applyAlignment="1">
      <alignment/>
    </xf>
    <xf numFmtId="186" fontId="0" fillId="3" borderId="2" xfId="15" applyNumberFormat="1" applyFont="1" applyFill="1" applyBorder="1" applyAlignment="1">
      <alignment/>
    </xf>
    <xf numFmtId="0" fontId="0" fillId="3" borderId="6" xfId="0" applyFont="1" applyFill="1" applyBorder="1" applyAlignment="1">
      <alignment/>
    </xf>
    <xf numFmtId="186" fontId="0" fillId="3" borderId="16" xfId="15" applyNumberFormat="1" applyFont="1" applyFill="1" applyBorder="1" applyAlignment="1">
      <alignment/>
    </xf>
    <xf numFmtId="186" fontId="0" fillId="3" borderId="16" xfId="15" applyNumberFormat="1" applyFont="1" applyFill="1" applyBorder="1" applyAlignment="1">
      <alignment horizontal="right"/>
    </xf>
    <xf numFmtId="185" fontId="0" fillId="3" borderId="2" xfId="15" applyNumberFormat="1" applyFont="1" applyFill="1" applyBorder="1" applyAlignment="1">
      <alignment/>
    </xf>
    <xf numFmtId="43" fontId="0" fillId="3" borderId="6" xfId="15" applyNumberFormat="1" applyFont="1" applyFill="1" applyBorder="1" applyAlignment="1">
      <alignment/>
    </xf>
    <xf numFmtId="185" fontId="0" fillId="3" borderId="4" xfId="15" applyNumberFormat="1" applyFont="1" applyFill="1" applyBorder="1" applyAlignment="1">
      <alignment/>
    </xf>
    <xf numFmtId="185" fontId="0" fillId="3" borderId="16" xfId="15" applyNumberFormat="1" applyFont="1" applyFill="1" applyBorder="1" applyAlignment="1">
      <alignment/>
    </xf>
    <xf numFmtId="186" fontId="0" fillId="3" borderId="12" xfId="15" applyNumberFormat="1" applyFont="1" applyFill="1" applyBorder="1" applyAlignment="1">
      <alignment/>
    </xf>
    <xf numFmtId="185" fontId="0" fillId="3" borderId="3" xfId="15" applyNumberFormat="1" applyFont="1" applyFill="1" applyBorder="1" applyAlignment="1">
      <alignment/>
    </xf>
    <xf numFmtId="186" fontId="0" fillId="3" borderId="13" xfId="15" applyNumberFormat="1" applyFont="1" applyFill="1" applyBorder="1" applyAlignment="1">
      <alignment/>
    </xf>
    <xf numFmtId="185" fontId="0" fillId="3" borderId="5" xfId="15" applyNumberFormat="1" applyFont="1" applyFill="1" applyBorder="1" applyAlignment="1">
      <alignment/>
    </xf>
    <xf numFmtId="188" fontId="0" fillId="3" borderId="12" xfId="15" applyNumberFormat="1" applyFont="1" applyFill="1" applyBorder="1" applyAlignment="1">
      <alignment/>
    </xf>
    <xf numFmtId="186" fontId="0" fillId="3" borderId="5" xfId="15" applyNumberFormat="1" applyFont="1" applyFill="1" applyBorder="1" applyAlignment="1">
      <alignment/>
    </xf>
    <xf numFmtId="43" fontId="0" fillId="3" borderId="24" xfId="15" applyNumberFormat="1" applyFont="1" applyFill="1" applyBorder="1" applyAlignment="1">
      <alignment/>
    </xf>
    <xf numFmtId="186" fontId="0" fillId="3" borderId="9" xfId="15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0" fillId="4" borderId="2" xfId="0" applyFont="1" applyFill="1" applyBorder="1" applyAlignment="1">
      <alignment horizontal="right"/>
    </xf>
    <xf numFmtId="186" fontId="0" fillId="4" borderId="6" xfId="15" applyNumberFormat="1" applyFont="1" applyFill="1" applyBorder="1" applyAlignment="1">
      <alignment/>
    </xf>
    <xf numFmtId="186" fontId="0" fillId="4" borderId="4" xfId="15" applyNumberFormat="1" applyFont="1" applyFill="1" applyBorder="1" applyAlignment="1">
      <alignment/>
    </xf>
    <xf numFmtId="186" fontId="0" fillId="4" borderId="2" xfId="15" applyNumberFormat="1" applyFont="1" applyFill="1" applyBorder="1" applyAlignment="1">
      <alignment/>
    </xf>
    <xf numFmtId="186" fontId="0" fillId="4" borderId="16" xfId="15" applyNumberFormat="1" applyFont="1" applyFill="1" applyBorder="1" applyAlignment="1">
      <alignment/>
    </xf>
    <xf numFmtId="186" fontId="0" fillId="4" borderId="16" xfId="15" applyNumberFormat="1" applyFont="1" applyFill="1" applyBorder="1" applyAlignment="1">
      <alignment horizontal="right"/>
    </xf>
    <xf numFmtId="185" fontId="0" fillId="4" borderId="2" xfId="15" applyNumberFormat="1" applyFont="1" applyFill="1" applyBorder="1" applyAlignment="1">
      <alignment/>
    </xf>
    <xf numFmtId="185" fontId="0" fillId="4" borderId="6" xfId="15" applyNumberFormat="1" applyFont="1" applyFill="1" applyBorder="1" applyAlignment="1">
      <alignment/>
    </xf>
    <xf numFmtId="43" fontId="0" fillId="4" borderId="6" xfId="15" applyFont="1" applyFill="1" applyBorder="1" applyAlignment="1">
      <alignment/>
    </xf>
    <xf numFmtId="185" fontId="0" fillId="4" borderId="4" xfId="15" applyNumberFormat="1" applyFont="1" applyFill="1" applyBorder="1" applyAlignment="1">
      <alignment/>
    </xf>
    <xf numFmtId="185" fontId="0" fillId="4" borderId="16" xfId="15" applyNumberFormat="1" applyFont="1" applyFill="1" applyBorder="1" applyAlignment="1">
      <alignment/>
    </xf>
    <xf numFmtId="186" fontId="0" fillId="4" borderId="12" xfId="15" applyNumberFormat="1" applyFont="1" applyFill="1" applyBorder="1" applyAlignment="1">
      <alignment/>
    </xf>
    <xf numFmtId="185" fontId="0" fillId="4" borderId="3" xfId="15" applyNumberFormat="1" applyFont="1" applyFill="1" applyBorder="1" applyAlignment="1">
      <alignment/>
    </xf>
    <xf numFmtId="188" fontId="0" fillId="4" borderId="12" xfId="15" applyNumberFormat="1" applyFont="1" applyFill="1" applyBorder="1" applyAlignment="1">
      <alignment/>
    </xf>
    <xf numFmtId="186" fontId="0" fillId="4" borderId="13" xfId="15" applyNumberFormat="1" applyFont="1" applyFill="1" applyBorder="1" applyAlignment="1">
      <alignment/>
    </xf>
    <xf numFmtId="186" fontId="0" fillId="4" borderId="5" xfId="15" applyNumberFormat="1" applyFont="1" applyFill="1" applyBorder="1" applyAlignment="1">
      <alignment/>
    </xf>
    <xf numFmtId="186" fontId="0" fillId="4" borderId="24" xfId="15" applyNumberFormat="1" applyFont="1" applyFill="1" applyBorder="1" applyAlignment="1">
      <alignment/>
    </xf>
    <xf numFmtId="186" fontId="0" fillId="4" borderId="9" xfId="15" applyNumberFormat="1" applyFont="1" applyFill="1" applyBorder="1" applyAlignment="1">
      <alignment/>
    </xf>
    <xf numFmtId="0" fontId="24" fillId="3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4" borderId="6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14" fontId="25" fillId="3" borderId="6" xfId="0" applyNumberFormat="1" applyFont="1" applyFill="1" applyBorder="1" applyAlignment="1">
      <alignment horizontal="right"/>
    </xf>
    <xf numFmtId="14" fontId="25" fillId="4" borderId="6" xfId="0" applyNumberFormat="1" applyFont="1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11" fillId="4" borderId="6" xfId="0" applyFont="1" applyFill="1" applyBorder="1" applyAlignment="1">
      <alignment horizontal="right"/>
    </xf>
    <xf numFmtId="1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8" fontId="8" fillId="0" borderId="0" xfId="0" applyNumberFormat="1" applyFont="1" applyAlignment="1">
      <alignment/>
    </xf>
    <xf numFmtId="186" fontId="8" fillId="0" borderId="0" xfId="15" applyNumberFormat="1" applyFont="1" applyAlignment="1">
      <alignment/>
    </xf>
    <xf numFmtId="0" fontId="25" fillId="0" borderId="0" xfId="0" applyFont="1" applyAlignment="1">
      <alignment/>
    </xf>
    <xf numFmtId="186" fontId="8" fillId="0" borderId="0" xfId="0" applyNumberFormat="1" applyFont="1" applyAlignment="1">
      <alignment/>
    </xf>
    <xf numFmtId="38" fontId="4" fillId="0" borderId="0" xfId="61" applyNumberFormat="1" applyFont="1" applyBorder="1" applyAlignment="1" applyProtection="1">
      <alignment horizontal="right" vertical="center"/>
      <protection/>
    </xf>
    <xf numFmtId="37" fontId="4" fillId="0" borderId="22" xfId="195" applyFont="1" applyBorder="1" applyAlignment="1">
      <alignment vertical="center"/>
      <protection/>
    </xf>
    <xf numFmtId="0" fontId="26" fillId="0" borderId="0" xfId="0" applyFont="1" applyAlignment="1">
      <alignment/>
    </xf>
    <xf numFmtId="38" fontId="27" fillId="0" borderId="0" xfId="61" applyNumberFormat="1" applyFont="1" applyBorder="1" applyAlignment="1" applyProtection="1">
      <alignment horizontal="right" vertical="center"/>
      <protection/>
    </xf>
    <xf numFmtId="38" fontId="4" fillId="0" borderId="22" xfId="61" applyNumberFormat="1" applyFont="1" applyBorder="1" applyAlignment="1" applyProtection="1">
      <alignment horizontal="right" vertical="center"/>
      <protection/>
    </xf>
    <xf numFmtId="0" fontId="27" fillId="0" borderId="0" xfId="194" applyNumberFormat="1" applyFont="1" applyAlignment="1">
      <alignment/>
      <protection/>
    </xf>
    <xf numFmtId="38" fontId="0" fillId="0" borderId="0" xfId="0" applyNumberFormat="1" applyFill="1" applyAlignment="1">
      <alignment/>
    </xf>
    <xf numFmtId="186" fontId="0" fillId="0" borderId="0" xfId="15" applyNumberFormat="1" applyAlignment="1">
      <alignment/>
    </xf>
    <xf numFmtId="0" fontId="0" fillId="0" borderId="0" xfId="0" applyFont="1" applyAlignment="1" quotePrefix="1">
      <alignment/>
    </xf>
    <xf numFmtId="43" fontId="4" fillId="0" borderId="22" xfId="194" applyNumberFormat="1" applyFont="1" applyBorder="1" applyAlignment="1">
      <alignment/>
      <protection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right"/>
    </xf>
    <xf numFmtId="186" fontId="8" fillId="0" borderId="1" xfId="15" applyNumberFormat="1" applyFont="1" applyBorder="1" applyAlignment="1">
      <alignment/>
    </xf>
    <xf numFmtId="186" fontId="8" fillId="0" borderId="22" xfId="15" applyNumberFormat="1" applyFont="1" applyBorder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5" borderId="24" xfId="0" applyFont="1" applyFill="1" applyBorder="1" applyAlignment="1">
      <alignment/>
    </xf>
    <xf numFmtId="0" fontId="8" fillId="5" borderId="22" xfId="0" applyFont="1" applyFill="1" applyBorder="1" applyAlignment="1">
      <alignment/>
    </xf>
    <xf numFmtId="0" fontId="10" fillId="5" borderId="22" xfId="0" applyFont="1" applyFill="1" applyBorder="1" applyAlignment="1">
      <alignment/>
    </xf>
    <xf numFmtId="0" fontId="13" fillId="5" borderId="22" xfId="0" applyFont="1" applyFill="1" applyBorder="1" applyAlignment="1">
      <alignment/>
    </xf>
    <xf numFmtId="0" fontId="13" fillId="5" borderId="9" xfId="0" applyFont="1" applyFill="1" applyBorder="1" applyAlignment="1">
      <alignment/>
    </xf>
    <xf numFmtId="38" fontId="4" fillId="6" borderId="4" xfId="61" applyNumberFormat="1" applyFont="1" applyFill="1" applyBorder="1" applyAlignment="1" applyProtection="1">
      <alignment vertical="center"/>
      <protection/>
    </xf>
    <xf numFmtId="37" fontId="8" fillId="6" borderId="0" xfId="195" applyFont="1" applyFill="1" applyAlignment="1">
      <alignment vertical="center"/>
      <protection/>
    </xf>
    <xf numFmtId="38" fontId="4" fillId="6" borderId="5" xfId="61" applyNumberFormat="1" applyFont="1" applyFill="1" applyBorder="1" applyAlignment="1" applyProtection="1">
      <alignment vertical="center"/>
      <protection/>
    </xf>
    <xf numFmtId="0" fontId="4" fillId="0" borderId="0" xfId="60" applyNumberFormat="1" applyFont="1" applyFill="1" applyAlignment="1" quotePrefix="1">
      <alignment horizontal="center"/>
    </xf>
    <xf numFmtId="37" fontId="21" fillId="0" borderId="0" xfId="195" applyFont="1" applyFill="1" applyBorder="1" applyAlignment="1" applyProtection="1">
      <alignment horizontal="center" vertical="center"/>
      <protection/>
    </xf>
    <xf numFmtId="37" fontId="21" fillId="0" borderId="0" xfId="195" applyFont="1" applyFill="1" applyBorder="1" applyAlignment="1">
      <alignment horizontal="centerContinuous" vertical="center"/>
      <protection/>
    </xf>
    <xf numFmtId="0" fontId="8" fillId="3" borderId="0" xfId="0" applyFont="1" applyFill="1" applyAlignment="1">
      <alignment/>
    </xf>
    <xf numFmtId="0" fontId="8" fillId="3" borderId="6" xfId="0" applyFont="1" applyFill="1" applyBorder="1" applyAlignment="1">
      <alignment/>
    </xf>
    <xf numFmtId="0" fontId="8" fillId="0" borderId="6" xfId="0" applyFont="1" applyBorder="1" applyAlignment="1">
      <alignment/>
    </xf>
    <xf numFmtId="0" fontId="8" fillId="3" borderId="2" xfId="0" applyFont="1" applyFill="1" applyBorder="1" applyAlignment="1">
      <alignment/>
    </xf>
    <xf numFmtId="186" fontId="4" fillId="0" borderId="0" xfId="15" applyNumberFormat="1" applyFont="1" applyBorder="1" applyAlignment="1">
      <alignment/>
    </xf>
    <xf numFmtId="38" fontId="4" fillId="3" borderId="10" xfId="61" applyNumberFormat="1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38" fontId="0" fillId="0" borderId="22" xfId="0" applyNumberFormat="1" applyBorder="1" applyAlignment="1">
      <alignment/>
    </xf>
    <xf numFmtId="38" fontId="4" fillId="0" borderId="0" xfId="61" applyNumberFormat="1" applyFont="1" applyBorder="1" applyAlignment="1" applyProtection="1">
      <alignment horizontal="left" vertical="center"/>
      <protection/>
    </xf>
    <xf numFmtId="38" fontId="27" fillId="0" borderId="0" xfId="61" applyNumberFormat="1" applyFont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186" fontId="0" fillId="0" borderId="0" xfId="15" applyNumberFormat="1" applyFont="1" applyAlignment="1">
      <alignment/>
    </xf>
    <xf numFmtId="38" fontId="0" fillId="3" borderId="0" xfId="0" applyNumberFormat="1" applyFill="1" applyAlignment="1">
      <alignment/>
    </xf>
    <xf numFmtId="38" fontId="0" fillId="3" borderId="22" xfId="0" applyNumberFormat="1" applyFill="1" applyBorder="1" applyAlignment="1">
      <alignment/>
    </xf>
    <xf numFmtId="43" fontId="8" fillId="0" borderId="0" xfId="15" applyNumberFormat="1" applyFont="1" applyAlignment="1">
      <alignment/>
    </xf>
    <xf numFmtId="37" fontId="4" fillId="0" borderId="0" xfId="195" applyFont="1" applyFill="1" applyAlignment="1" quotePrefix="1">
      <alignment horizontal="center" vertical="center"/>
      <protection/>
    </xf>
    <xf numFmtId="38" fontId="4" fillId="7" borderId="4" xfId="61" applyNumberFormat="1" applyFont="1" applyFill="1" applyBorder="1" applyAlignment="1" applyProtection="1">
      <alignment vertical="center"/>
      <protection/>
    </xf>
    <xf numFmtId="37" fontId="4" fillId="2" borderId="0" xfId="195" applyFont="1" applyFill="1" applyAlignment="1">
      <alignment horizontal="center" vertical="center"/>
      <protection/>
    </xf>
    <xf numFmtId="37" fontId="8" fillId="6" borderId="4" xfId="195" applyFont="1" applyFill="1" applyBorder="1" applyAlignment="1">
      <alignment vertical="center"/>
      <protection/>
    </xf>
    <xf numFmtId="38" fontId="4" fillId="6" borderId="18" xfId="61" applyNumberFormat="1" applyFont="1" applyFill="1" applyBorder="1" applyAlignment="1" applyProtection="1">
      <alignment vertical="center"/>
      <protection/>
    </xf>
    <xf numFmtId="38" fontId="4" fillId="6" borderId="0" xfId="61" applyNumberFormat="1" applyFont="1" applyFill="1" applyBorder="1" applyAlignment="1" applyProtection="1">
      <alignment vertical="center"/>
      <protection/>
    </xf>
    <xf numFmtId="37" fontId="7" fillId="0" borderId="0" xfId="195" applyFont="1" applyFill="1" applyBorder="1" applyAlignment="1">
      <alignment horizontal="centerContinuous" vertical="center"/>
      <protection/>
    </xf>
    <xf numFmtId="186" fontId="0" fillId="3" borderId="6" xfId="15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" borderId="0" xfId="0" applyFill="1" applyAlignment="1">
      <alignment horizontal="right"/>
    </xf>
    <xf numFmtId="186" fontId="0" fillId="3" borderId="0" xfId="15" applyNumberFormat="1" applyFill="1" applyAlignment="1">
      <alignment horizontal="right"/>
    </xf>
    <xf numFmtId="186" fontId="0" fillId="3" borderId="0" xfId="0" applyNumberFormat="1" applyFill="1" applyAlignment="1">
      <alignment horizontal="right"/>
    </xf>
    <xf numFmtId="186" fontId="0" fillId="0" borderId="0" xfId="0" applyNumberFormat="1" applyFill="1" applyAlignment="1">
      <alignment/>
    </xf>
    <xf numFmtId="43" fontId="8" fillId="0" borderId="0" xfId="15" applyFont="1" applyAlignment="1">
      <alignment/>
    </xf>
    <xf numFmtId="0" fontId="6" fillId="0" borderId="24" xfId="60" applyNumberFormat="1" applyFont="1" applyBorder="1" applyAlignment="1" applyProtection="1">
      <alignment horizontal="center"/>
      <protection/>
    </xf>
    <xf numFmtId="0" fontId="6" fillId="0" borderId="9" xfId="60" applyNumberFormat="1" applyFont="1" applyBorder="1" applyAlignment="1" applyProtection="1">
      <alignment horizontal="center"/>
      <protection/>
    </xf>
    <xf numFmtId="0" fontId="3" fillId="3" borderId="2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86" fontId="0" fillId="4" borderId="13" xfId="15" applyNumberFormat="1" applyFont="1" applyFill="1" applyBorder="1" applyAlignment="1">
      <alignment horizontal="center"/>
    </xf>
    <xf numFmtId="186" fontId="0" fillId="4" borderId="5" xfId="15" applyNumberFormat="1" applyFont="1" applyFill="1" applyBorder="1" applyAlignment="1">
      <alignment horizontal="center"/>
    </xf>
  </cellXfs>
  <cellStyles count="218">
    <cellStyle name="Normal" xfId="0"/>
    <cellStyle name="Comma" xfId="15"/>
    <cellStyle name="Comma [0]" xfId="16"/>
    <cellStyle name="Comma [0]_Con B&amp;S 0698" xfId="17"/>
    <cellStyle name="Comma [0]_Con P&amp;L 0698" xfId="18"/>
    <cellStyle name="Comma [0]_Israel&amp;Safr" xfId="19"/>
    <cellStyle name="Comma [0]_Israel&amp;Safr_Plan" xfId="20"/>
    <cellStyle name="Comma [0]_Israel&amp;Safr_Plan1997" xfId="21"/>
    <cellStyle name="Comma [0]_Italy" xfId="22"/>
    <cellStyle name="Comma [0]_Italy_Plan" xfId="23"/>
    <cellStyle name="Comma [0]_Italy_Plan1997" xfId="24"/>
    <cellStyle name="Comma [0]_laroux" xfId="25"/>
    <cellStyle name="Comma [0]_laroux_1" xfId="26"/>
    <cellStyle name="Comma [0]_laroux_2" xfId="27"/>
    <cellStyle name="Comma [0]_laroux_3" xfId="28"/>
    <cellStyle name="Comma [0]_laroux_4" xfId="29"/>
    <cellStyle name="Comma [0]_laroux_MATERAL2" xfId="30"/>
    <cellStyle name="Comma [0]_laroux_mud plant bolted" xfId="31"/>
    <cellStyle name="Comma [0]_laroux_Plan" xfId="32"/>
    <cellStyle name="Comma [0]_laroux_Plan1997" xfId="33"/>
    <cellStyle name="Comma [0]_MATERAL2" xfId="34"/>
    <cellStyle name="Comma [0]_Module1" xfId="35"/>
    <cellStyle name="Comma [0]_Module1_Plan" xfId="36"/>
    <cellStyle name="Comma [0]_Module1_Plan1997" xfId="37"/>
    <cellStyle name="Comma [0]_mud plant bolted" xfId="38"/>
    <cellStyle name="Comma [0]_r1" xfId="39"/>
    <cellStyle name="Comma [0]_r1_Plan" xfId="40"/>
    <cellStyle name="Comma [0]_r1_Plan1997" xfId="41"/>
    <cellStyle name="Comma [0]_Reconcile W2vW6" xfId="42"/>
    <cellStyle name="Comma [0]_Reconcile W2vW6_Plan" xfId="43"/>
    <cellStyle name="Comma [0]_Reconcile W2vW6_Plan1997" xfId="44"/>
    <cellStyle name="Comma [0]_Sheet1 (2)" xfId="45"/>
    <cellStyle name="Comma [0]_Sheet2" xfId="46"/>
    <cellStyle name="Comma [0]_Sheet2_Plan" xfId="47"/>
    <cellStyle name="Comma [0]_Sheet2_Plan1997" xfId="48"/>
    <cellStyle name="Comma [0]_Summary" xfId="49"/>
    <cellStyle name="Comma [0]_Summary_Plan" xfId="50"/>
    <cellStyle name="Comma [0]_Summary_Plan1997" xfId="51"/>
    <cellStyle name="Comma [0]_Units" xfId="52"/>
    <cellStyle name="Comma [0]_Units_1" xfId="53"/>
    <cellStyle name="Comma [0]_Units_1_Plan" xfId="54"/>
    <cellStyle name="Comma [0]_Units_1_Plan1997" xfId="55"/>
    <cellStyle name="Comma [0]_Values" xfId="56"/>
    <cellStyle name="Comma [0]_Values_Plan" xfId="57"/>
    <cellStyle name="Comma [0]_Values_Plan1997" xfId="58"/>
    <cellStyle name="comma zerodec" xfId="59"/>
    <cellStyle name="Comma_Con B&amp;S 0698" xfId="60"/>
    <cellStyle name="Comma_Con P&amp;L 0698" xfId="61"/>
    <cellStyle name="Comma_Israel&amp;Safr" xfId="62"/>
    <cellStyle name="Comma_Israel&amp;Safr_Plan" xfId="63"/>
    <cellStyle name="Comma_Israel&amp;Safr_Plan1997" xfId="64"/>
    <cellStyle name="Comma_Italy" xfId="65"/>
    <cellStyle name="Comma_Italy_Plan" xfId="66"/>
    <cellStyle name="Comma_Italy_Plan1997" xfId="67"/>
    <cellStyle name="Comma_laroux" xfId="68"/>
    <cellStyle name="Comma_laroux_1" xfId="69"/>
    <cellStyle name="Comma_laroux_1_Plan" xfId="70"/>
    <cellStyle name="Comma_laroux_1_Plan1997" xfId="71"/>
    <cellStyle name="Comma_laroux_2" xfId="72"/>
    <cellStyle name="Comma_laroux_3" xfId="73"/>
    <cellStyle name="Comma_laroux_4" xfId="74"/>
    <cellStyle name="Comma_laroux_5" xfId="75"/>
    <cellStyle name="Comma_laroux_Plan" xfId="76"/>
    <cellStyle name="Comma_laroux_Plan1997" xfId="77"/>
    <cellStyle name="Comma_MATERAL2" xfId="78"/>
    <cellStyle name="Comma_Module1" xfId="79"/>
    <cellStyle name="Comma_Module1_Plan" xfId="80"/>
    <cellStyle name="Comma_Module1_Plan1997" xfId="81"/>
    <cellStyle name="Comma_mud plant bolted" xfId="82"/>
    <cellStyle name="Comma_Plan" xfId="83"/>
    <cellStyle name="Comma_r1" xfId="84"/>
    <cellStyle name="Comma_r1_Plan" xfId="85"/>
    <cellStyle name="Comma_r1_Plan1997" xfId="86"/>
    <cellStyle name="Comma_Reconcile W2vW6" xfId="87"/>
    <cellStyle name="Comma_Reconcile W2vW6_Plan" xfId="88"/>
    <cellStyle name="Comma_Reconcile W2vW6_Plan1997" xfId="89"/>
    <cellStyle name="Comma_Sheet1 (2)" xfId="90"/>
    <cellStyle name="Comma_Sheet2" xfId="91"/>
    <cellStyle name="Comma_Sheet2_Plan" xfId="92"/>
    <cellStyle name="Comma_Sheet2_Plan1997" xfId="93"/>
    <cellStyle name="Comma_Summary" xfId="94"/>
    <cellStyle name="Comma_Summary_Plan" xfId="95"/>
    <cellStyle name="Comma_Summary_Plan1997" xfId="96"/>
    <cellStyle name="Comma_template" xfId="97"/>
    <cellStyle name="Comma_Units" xfId="98"/>
    <cellStyle name="Comma_Units_1" xfId="99"/>
    <cellStyle name="Comma_Units_1_Plan" xfId="100"/>
    <cellStyle name="Comma_Units_1_Plan1997" xfId="101"/>
    <cellStyle name="Comma_USW" xfId="102"/>
    <cellStyle name="Comma_Values" xfId="103"/>
    <cellStyle name="Comma_Values_Plan" xfId="104"/>
    <cellStyle name="Comma_Values_Plan1997" xfId="105"/>
    <cellStyle name="Currency" xfId="106"/>
    <cellStyle name="Currency [0]" xfId="107"/>
    <cellStyle name="Currency [0]_AAGR1297" xfId="108"/>
    <cellStyle name="Currency [0]_Balance Sheet" xfId="109"/>
    <cellStyle name="Currency [0]_Con B&amp;S 0698" xfId="110"/>
    <cellStyle name="Currency [0]_Con P&amp;L 0698" xfId="111"/>
    <cellStyle name="Currency [0]_Israel&amp;Safr" xfId="112"/>
    <cellStyle name="Currency [0]_Italy" xfId="113"/>
    <cellStyle name="Currency [0]_KPI" xfId="114"/>
    <cellStyle name="Currency [0]_laroux" xfId="115"/>
    <cellStyle name="Currency [0]_laroux_1" xfId="116"/>
    <cellStyle name="Currency [0]_laroux_2" xfId="117"/>
    <cellStyle name="Currency [0]_laroux_3" xfId="118"/>
    <cellStyle name="Currency [0]_laroux_4" xfId="119"/>
    <cellStyle name="Currency [0]_laroux_5" xfId="120"/>
    <cellStyle name="Currency [0]_laroux_6" xfId="121"/>
    <cellStyle name="Currency [0]_laroux_MATERAL2" xfId="122"/>
    <cellStyle name="Currency [0]_laroux_mud plant bolted" xfId="123"/>
    <cellStyle name="Currency [0]_MATERAL2" xfId="124"/>
    <cellStyle name="Currency [0]_Module1" xfId="125"/>
    <cellStyle name="Currency [0]_mud plant bolted" xfId="126"/>
    <cellStyle name="Currency [0]_Profit &amp; Loss" xfId="127"/>
    <cellStyle name="Currency [0]_r1" xfId="128"/>
    <cellStyle name="Currency [0]_Reconcile W2vW6" xfId="129"/>
    <cellStyle name="Currency [0]_Sheet1" xfId="130"/>
    <cellStyle name="Currency [0]_Sheet1 (2)" xfId="131"/>
    <cellStyle name="Currency [0]_Sheet2" xfId="132"/>
    <cellStyle name="Currency [0]_Summary" xfId="133"/>
    <cellStyle name="Currency [0]_Units" xfId="134"/>
    <cellStyle name="Currency [0]_Units_1" xfId="135"/>
    <cellStyle name="Currency [0]_Values" xfId="136"/>
    <cellStyle name="Currency_AAGR1297" xfId="137"/>
    <cellStyle name="Currency_Balance Sheet" xfId="138"/>
    <cellStyle name="Currency_Con B&amp;S 0698" xfId="139"/>
    <cellStyle name="Currency_Con P&amp;L 0698" xfId="140"/>
    <cellStyle name="Currency_Israel&amp;Safr" xfId="141"/>
    <cellStyle name="Currency_Italy" xfId="142"/>
    <cellStyle name="Currency_KPI" xfId="143"/>
    <cellStyle name="Currency_laroux" xfId="144"/>
    <cellStyle name="Currency_laroux_1" xfId="145"/>
    <cellStyle name="Currency_laroux_1_Plan" xfId="146"/>
    <cellStyle name="Currency_laroux_1_Plan1997" xfId="147"/>
    <cellStyle name="Currency_laroux_2" xfId="148"/>
    <cellStyle name="Currency_laroux_2_Plan" xfId="149"/>
    <cellStyle name="Currency_laroux_2_Plan1997" xfId="150"/>
    <cellStyle name="Currency_laroux_3" xfId="151"/>
    <cellStyle name="Currency_laroux_3_Plan" xfId="152"/>
    <cellStyle name="Currency_laroux_3_Plan1997" xfId="153"/>
    <cellStyle name="Currency_laroux_4" xfId="154"/>
    <cellStyle name="Currency_laroux_5" xfId="155"/>
    <cellStyle name="Currency_laroux_6" xfId="156"/>
    <cellStyle name="Currency_laroux_Plan" xfId="157"/>
    <cellStyle name="Currency_laroux_Plan1997" xfId="158"/>
    <cellStyle name="Currency_MATERAL2" xfId="159"/>
    <cellStyle name="Currency_Module1" xfId="160"/>
    <cellStyle name="Currency_mud plant bolted" xfId="161"/>
    <cellStyle name="Currency_Plan" xfId="162"/>
    <cellStyle name="Currency_Profit &amp; Loss" xfId="163"/>
    <cellStyle name="Currency_r1" xfId="164"/>
    <cellStyle name="Currency_Reconcile W2vW6" xfId="165"/>
    <cellStyle name="Currency_Sheet1" xfId="166"/>
    <cellStyle name="Currency_Sheet1 (2)" xfId="167"/>
    <cellStyle name="Currency_Sheet1_Profit &amp; Loss" xfId="168"/>
    <cellStyle name="Currency_Sheet2" xfId="169"/>
    <cellStyle name="Currency_Summary" xfId="170"/>
    <cellStyle name="Currency_Units" xfId="171"/>
    <cellStyle name="Currency_Units_1" xfId="172"/>
    <cellStyle name="Currency_USW" xfId="173"/>
    <cellStyle name="Currency_Values" xfId="174"/>
    <cellStyle name="Currency1" xfId="175"/>
    <cellStyle name="Date" xfId="176"/>
    <cellStyle name="Date_USW" xfId="177"/>
    <cellStyle name="Dollar (zero dec)" xfId="178"/>
    <cellStyle name="Fixed" xfId="179"/>
    <cellStyle name="Fixed_USW" xfId="180"/>
    <cellStyle name="HEADING1" xfId="181"/>
    <cellStyle name="HEADING2" xfId="182"/>
    <cellStyle name="Normal - Style1" xfId="183"/>
    <cellStyle name="Normal - Style2" xfId="184"/>
    <cellStyle name="Normal - Style3" xfId="185"/>
    <cellStyle name="Normal - Style4" xfId="186"/>
    <cellStyle name="Normal - Style5" xfId="187"/>
    <cellStyle name="Normal - Style6" xfId="188"/>
    <cellStyle name="Normal - Style7" xfId="189"/>
    <cellStyle name="Normal - Style8" xfId="190"/>
    <cellStyle name="Normal_AAGRP1296" xfId="191"/>
    <cellStyle name="Normal_Certs Q2" xfId="192"/>
    <cellStyle name="Normal_Certs Q2 (2)" xfId="193"/>
    <cellStyle name="Normal_Con B&amp;S 0698" xfId="194"/>
    <cellStyle name="Normal_Con P&amp;L 0698" xfId="195"/>
    <cellStyle name="Normal_Funds Flow " xfId="196"/>
    <cellStyle name="Normal_Israel&amp;Safr" xfId="197"/>
    <cellStyle name="Normal_laroux" xfId="198"/>
    <cellStyle name="Normal_laroux_1" xfId="199"/>
    <cellStyle name="Normal_laroux_2" xfId="200"/>
    <cellStyle name="Normal_laroux_2_Plan" xfId="201"/>
    <cellStyle name="Normal_laroux_2_Plan1997" xfId="202"/>
    <cellStyle name="Normal_laroux_3" xfId="203"/>
    <cellStyle name="Normal_laroux_3_Plan" xfId="204"/>
    <cellStyle name="Normal_laroux_3_Plan1997" xfId="205"/>
    <cellStyle name="Normal_laroux_4" xfId="206"/>
    <cellStyle name="Normal_laroux_5" xfId="207"/>
    <cellStyle name="Normal_laroux_Plan" xfId="208"/>
    <cellStyle name="Normal_laroux_Plan1997" xfId="209"/>
    <cellStyle name="Normal_MATERAL2" xfId="210"/>
    <cellStyle name="Normal_Module1" xfId="211"/>
    <cellStyle name="Normal_mud plant bolted" xfId="212"/>
    <cellStyle name="Normal_PENPARTS" xfId="213"/>
    <cellStyle name="Normal_Plan" xfId="214"/>
    <cellStyle name="Normal_PROD SALES" xfId="215"/>
    <cellStyle name="Normal_PROD SALES by Region Pg 2" xfId="216"/>
    <cellStyle name="Normal_PRODUCT" xfId="217"/>
    <cellStyle name="Normal_r1" xfId="218"/>
    <cellStyle name="Normal_Reconcile W2vW6" xfId="219"/>
    <cellStyle name="Normal_REPORT" xfId="220"/>
    <cellStyle name="Normal_Sheet1" xfId="221"/>
    <cellStyle name="Normal_Sheet1 (2)" xfId="222"/>
    <cellStyle name="Normal_Summary" xfId="223"/>
    <cellStyle name="Normal_Summary_laroux" xfId="224"/>
    <cellStyle name="Normal_Units" xfId="225"/>
    <cellStyle name="Normal_Units_1" xfId="226"/>
    <cellStyle name="Percent" xfId="227"/>
    <cellStyle name="Percent_laroux" xfId="228"/>
    <cellStyle name="Percent_USW" xfId="229"/>
    <cellStyle name="Total" xfId="230"/>
    <cellStyle name="Total_USW" xfId="2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17</xdr:row>
      <xdr:rowOff>57150</xdr:rowOff>
    </xdr:from>
    <xdr:to>
      <xdr:col>8</xdr:col>
      <xdr:colOff>104775</xdr:colOff>
      <xdr:row>17</xdr:row>
      <xdr:rowOff>161925</xdr:rowOff>
    </xdr:to>
    <xdr:sp>
      <xdr:nvSpPr>
        <xdr:cNvPr id="1" name="Oval 4"/>
        <xdr:cNvSpPr>
          <a:spLocks/>
        </xdr:cNvSpPr>
      </xdr:nvSpPr>
      <xdr:spPr>
        <a:xfrm>
          <a:off x="5705475" y="35623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57150</xdr:rowOff>
    </xdr:from>
    <xdr:to>
      <xdr:col>7</xdr:col>
      <xdr:colOff>114300</xdr:colOff>
      <xdr:row>21</xdr:row>
      <xdr:rowOff>161925</xdr:rowOff>
    </xdr:to>
    <xdr:sp>
      <xdr:nvSpPr>
        <xdr:cNvPr id="2" name="Oval 9"/>
        <xdr:cNvSpPr>
          <a:spLocks/>
        </xdr:cNvSpPr>
      </xdr:nvSpPr>
      <xdr:spPr>
        <a:xfrm>
          <a:off x="4381500" y="4362450"/>
          <a:ext cx="85725" cy="1047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H\AABA&amp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CF2000\Jobs\Project%20Amal\Qtrly%20Statement\SHAH\CONSOL%20AC\YE%206.2000\March%202000\AAB%20Consol%206.1999(after%20IEC%20Adj%20&amp;%20A%20Leasing%20Adj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"/>
      <sheetName val="Balance Sheet"/>
      <sheetName val="Notes"/>
      <sheetName val="TB"/>
      <sheetName val="Profit &amp; Lo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&amp;S"/>
      <sheetName val="Con P&amp;L"/>
      <sheetName val="Con B&amp;S Journals"/>
      <sheetName val="Con P&amp;L Journals"/>
      <sheetName val="Journals"/>
      <sheetName val="KLSE"/>
    </sheetNames>
    <sheetDataSet>
      <sheetData sheetId="0">
        <row r="48">
          <cell r="L48">
            <v>160291</v>
          </cell>
          <cell r="M48">
            <v>138366</v>
          </cell>
          <cell r="N48">
            <v>0</v>
          </cell>
          <cell r="O48">
            <v>0</v>
          </cell>
          <cell r="P48">
            <v>8471622.31</v>
          </cell>
          <cell r="Q48">
            <v>6280856.79</v>
          </cell>
          <cell r="R48">
            <v>9217213</v>
          </cell>
          <cell r="S48">
            <v>0</v>
          </cell>
          <cell r="T48">
            <v>369194</v>
          </cell>
          <cell r="U48">
            <v>4748606.899999999</v>
          </cell>
          <cell r="V48">
            <v>19203759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48589909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Q126"/>
  <sheetViews>
    <sheetView showGridLines="0" zoomScale="75" zoomScaleNormal="75" workbookViewId="0" topLeftCell="A1">
      <pane xSplit="1" ySplit="6" topLeftCell="B17" activePane="bottomRight" state="frozen"/>
      <selection pane="topLeft" activeCell="A6" sqref="A6"/>
      <selection pane="topRight" activeCell="B6" sqref="B6"/>
      <selection pane="bottomLeft" activeCell="A6" sqref="A6"/>
      <selection pane="bottomRight" activeCell="H22" sqref="H22"/>
    </sheetView>
  </sheetViews>
  <sheetFormatPr defaultColWidth="12.7109375" defaultRowHeight="12.75"/>
  <cols>
    <col min="1" max="1" width="42.7109375" style="4" customWidth="1"/>
    <col min="2" max="5" width="12.7109375" style="4" customWidth="1"/>
    <col min="6" max="7" width="14.7109375" style="4" bestFit="1" customWidth="1"/>
    <col min="8" max="9" width="12.7109375" style="4" customWidth="1"/>
    <col min="10" max="10" width="11.7109375" style="4" bestFit="1" customWidth="1"/>
    <col min="11" max="11" width="42.7109375" style="4" customWidth="1"/>
    <col min="12" max="15" width="12.7109375" style="4" customWidth="1"/>
    <col min="16" max="16" width="11.7109375" style="0" customWidth="1"/>
    <col min="17" max="22" width="12.7109375" style="4" customWidth="1"/>
    <col min="23" max="23" width="11.7109375" style="0" customWidth="1"/>
    <col min="24" max="27" width="12.7109375" style="4" customWidth="1"/>
    <col min="28" max="28" width="7.7109375" style="4" customWidth="1"/>
    <col min="29" max="29" width="6.7109375" style="4" customWidth="1"/>
    <col min="30" max="30" width="42.7109375" style="4" customWidth="1"/>
    <col min="31" max="43" width="12.7109375" style="4" customWidth="1"/>
    <col min="44" max="44" width="10.28125" style="4" bestFit="1" customWidth="1"/>
    <col min="45" max="45" width="8.7109375" style="4" customWidth="1"/>
    <col min="46" max="46" width="42.7109375" style="4" customWidth="1"/>
    <col min="47" max="56" width="12.7109375" style="4" customWidth="1"/>
    <col min="57" max="57" width="8.7109375" style="4" customWidth="1"/>
    <col min="58" max="58" width="8.7109375" style="196" customWidth="1"/>
    <col min="59" max="59" width="42.7109375" style="4" customWidth="1"/>
    <col min="60" max="60" width="11.57421875" style="0" customWidth="1"/>
    <col min="61" max="61" width="12.7109375" style="4" customWidth="1"/>
    <col min="62" max="62" width="14.00390625" style="0" bestFit="1" customWidth="1"/>
    <col min="63" max="67" width="12.7109375" style="4" customWidth="1"/>
    <col min="68" max="16384" width="12.7109375" style="5" customWidth="1"/>
  </cols>
  <sheetData>
    <row r="1" spans="1:67" ht="18" customHeight="1">
      <c r="A1" s="47" t="s">
        <v>328</v>
      </c>
      <c r="B1" s="167"/>
      <c r="C1" s="167"/>
      <c r="D1" s="168"/>
      <c r="E1" s="1"/>
      <c r="F1" s="1"/>
      <c r="G1" s="178"/>
      <c r="H1" s="178"/>
      <c r="I1" s="1"/>
      <c r="J1" s="1"/>
      <c r="K1" s="2" t="s">
        <v>328</v>
      </c>
      <c r="L1" s="1"/>
      <c r="M1" s="1"/>
      <c r="N1" s="1"/>
      <c r="O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  <c r="AC1" s="1"/>
      <c r="AD1" s="2" t="s">
        <v>328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11" t="s">
        <v>128</v>
      </c>
      <c r="AR1" s="1"/>
      <c r="AS1" s="1"/>
      <c r="AT1" s="2" t="s">
        <v>328</v>
      </c>
      <c r="AU1" s="1"/>
      <c r="AW1" s="1"/>
      <c r="AX1" s="1"/>
      <c r="AY1" s="1"/>
      <c r="AZ1" s="1"/>
      <c r="BA1" s="1"/>
      <c r="BB1" s="1"/>
      <c r="BC1" s="1"/>
      <c r="BD1" s="111" t="s">
        <v>129</v>
      </c>
      <c r="BE1" s="1"/>
      <c r="BF1" s="168"/>
      <c r="BG1" s="2" t="s">
        <v>328</v>
      </c>
      <c r="BI1" s="1"/>
      <c r="BK1" s="7"/>
      <c r="BL1" s="1"/>
      <c r="BM1" s="1"/>
      <c r="BN1" s="1"/>
      <c r="BO1" s="1"/>
    </row>
    <row r="2" spans="1:67" ht="18" customHeight="1">
      <c r="A2" s="48" t="s">
        <v>329</v>
      </c>
      <c r="C2" s="196"/>
      <c r="D2" s="1"/>
      <c r="E2" s="1"/>
      <c r="F2" s="1"/>
      <c r="G2" s="1"/>
      <c r="H2" s="1"/>
      <c r="I2" s="250"/>
      <c r="J2" s="1"/>
      <c r="K2" s="6" t="s">
        <v>330</v>
      </c>
      <c r="L2" s="1"/>
      <c r="M2" s="1"/>
      <c r="N2" s="1"/>
      <c r="O2" s="1"/>
      <c r="Q2" s="1"/>
      <c r="R2" s="214"/>
      <c r="S2" s="1"/>
      <c r="T2" s="27"/>
      <c r="U2" s="1"/>
      <c r="V2" s="41"/>
      <c r="X2" s="1"/>
      <c r="Y2" s="1"/>
      <c r="Z2" s="1"/>
      <c r="AA2" s="1"/>
      <c r="AB2" s="1"/>
      <c r="AC2" s="1"/>
      <c r="AD2" s="6" t="s">
        <v>331</v>
      </c>
      <c r="AE2" s="1"/>
      <c r="AF2" s="1"/>
      <c r="AG2" s="1"/>
      <c r="AH2" s="1"/>
      <c r="AI2" s="1"/>
      <c r="AJ2" s="1"/>
      <c r="AK2" s="1"/>
      <c r="AL2" s="1"/>
      <c r="AM2" s="1"/>
      <c r="AO2" s="1"/>
      <c r="AP2" s="1"/>
      <c r="AQ2" s="1"/>
      <c r="AR2" s="1"/>
      <c r="AS2" s="1"/>
      <c r="AT2" s="6" t="s">
        <v>332</v>
      </c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68"/>
      <c r="BG2" s="6" t="s">
        <v>333</v>
      </c>
      <c r="BI2" s="1"/>
      <c r="BL2" s="1"/>
      <c r="BM2" s="1"/>
      <c r="BN2" s="1"/>
      <c r="BO2" s="1"/>
    </row>
    <row r="3" spans="1:67" ht="18" customHeight="1">
      <c r="A3" s="47" t="s">
        <v>400</v>
      </c>
      <c r="B3" s="27"/>
      <c r="C3" s="1"/>
      <c r="D3" s="1"/>
      <c r="E3" s="1"/>
      <c r="F3" s="1"/>
      <c r="G3" s="1"/>
      <c r="H3" s="1"/>
      <c r="I3" s="1"/>
      <c r="J3" s="1"/>
      <c r="K3" s="6" t="str">
        <f>A3</f>
        <v>As at 30th June  2000</v>
      </c>
      <c r="L3" s="1"/>
      <c r="M3" s="1"/>
      <c r="N3" s="1"/>
      <c r="O3" s="1"/>
      <c r="Q3" s="1"/>
      <c r="R3" s="27"/>
      <c r="S3" s="1"/>
      <c r="T3" s="1"/>
      <c r="U3" s="1"/>
      <c r="V3" s="1"/>
      <c r="X3" s="1"/>
      <c r="Y3" s="1"/>
      <c r="Z3" s="1"/>
      <c r="AA3" s="1"/>
      <c r="AB3" s="1"/>
      <c r="AC3" s="1"/>
      <c r="AD3" s="6" t="str">
        <f>A3</f>
        <v>As at 30th June  2000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6" t="str">
        <f>A3</f>
        <v>As at 30th June  2000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68"/>
      <c r="BG3" s="6" t="str">
        <f>A3</f>
        <v>As at 30th June  2000</v>
      </c>
      <c r="BI3" s="1"/>
      <c r="BJ3" s="139"/>
      <c r="BK3" s="7"/>
      <c r="BL3" s="1"/>
      <c r="BM3" s="1"/>
      <c r="BN3" s="1"/>
      <c r="BO3" s="1"/>
    </row>
    <row r="4" spans="1:67" s="185" customFormat="1" ht="18" customHeight="1">
      <c r="A4" s="179"/>
      <c r="B4" s="180"/>
      <c r="C4" s="181"/>
      <c r="D4" s="181"/>
      <c r="E4" s="181"/>
      <c r="F4" s="181"/>
      <c r="G4" s="182"/>
      <c r="H4" s="182"/>
      <c r="I4" s="182"/>
      <c r="J4" s="182"/>
      <c r="K4" s="181"/>
      <c r="L4" s="180"/>
      <c r="M4" s="180"/>
      <c r="N4" s="180"/>
      <c r="O4" s="180"/>
      <c r="P4" s="183"/>
      <c r="Q4" s="180"/>
      <c r="R4" s="407"/>
      <c r="S4" s="180"/>
      <c r="T4" s="180"/>
      <c r="U4" s="180"/>
      <c r="V4" s="180"/>
      <c r="W4" s="183"/>
      <c r="X4" s="180"/>
      <c r="Y4" s="184" t="s">
        <v>128</v>
      </c>
      <c r="Z4" s="184" t="s">
        <v>129</v>
      </c>
      <c r="AA4" s="181"/>
      <c r="AB4" s="182"/>
      <c r="AC4" s="181"/>
      <c r="AD4" s="181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1"/>
      <c r="AR4" s="182"/>
      <c r="AS4" s="181"/>
      <c r="AT4" s="181"/>
      <c r="AU4" s="180"/>
      <c r="AV4" s="1"/>
      <c r="AW4" s="180"/>
      <c r="AX4" s="180"/>
      <c r="AY4" s="180"/>
      <c r="AZ4" s="180"/>
      <c r="BA4" s="180"/>
      <c r="BB4" s="180"/>
      <c r="BC4" s="180"/>
      <c r="BD4" s="181"/>
      <c r="BE4" s="182"/>
      <c r="BF4" s="181"/>
      <c r="BG4" s="181"/>
      <c r="BH4" s="183"/>
      <c r="BI4" s="406"/>
      <c r="BJ4" s="408"/>
      <c r="BK4" s="180"/>
      <c r="BL4" s="181"/>
      <c r="BM4" s="181"/>
      <c r="BN4" s="182"/>
      <c r="BO4" s="182"/>
    </row>
    <row r="5" spans="1:67" s="18" customFormat="1" ht="16.5" customHeight="1">
      <c r="A5" s="9"/>
      <c r="B5" s="10" t="s">
        <v>21</v>
      </c>
      <c r="C5" s="438" t="s">
        <v>334</v>
      </c>
      <c r="D5" s="439"/>
      <c r="E5" s="11"/>
      <c r="F5" s="11"/>
      <c r="G5" s="11"/>
      <c r="H5" s="11"/>
      <c r="I5" s="12"/>
      <c r="J5" s="12"/>
      <c r="K5" s="9"/>
      <c r="L5" s="13" t="s">
        <v>335</v>
      </c>
      <c r="M5" s="13" t="s">
        <v>335</v>
      </c>
      <c r="N5" s="14" t="s">
        <v>337</v>
      </c>
      <c r="O5" s="14" t="s">
        <v>337</v>
      </c>
      <c r="P5" s="159" t="s">
        <v>338</v>
      </c>
      <c r="Q5" s="14" t="s">
        <v>338</v>
      </c>
      <c r="R5" s="58" t="s">
        <v>336</v>
      </c>
      <c r="S5" s="14" t="s">
        <v>345</v>
      </c>
      <c r="T5" s="14" t="s">
        <v>352</v>
      </c>
      <c r="U5" s="14" t="s">
        <v>341</v>
      </c>
      <c r="V5" s="14" t="s">
        <v>340</v>
      </c>
      <c r="W5" s="159" t="s">
        <v>350</v>
      </c>
      <c r="X5" s="14" t="s">
        <v>339</v>
      </c>
      <c r="Y5" s="14" t="s">
        <v>342</v>
      </c>
      <c r="Z5" s="14" t="s">
        <v>342</v>
      </c>
      <c r="AA5" s="11"/>
      <c r="AB5" s="12"/>
      <c r="AC5" s="15"/>
      <c r="AD5" s="9"/>
      <c r="AE5" s="13" t="s">
        <v>343</v>
      </c>
      <c r="AF5" s="13" t="s">
        <v>344</v>
      </c>
      <c r="AG5" s="13" t="s">
        <v>344</v>
      </c>
      <c r="AH5" s="13" t="s">
        <v>344</v>
      </c>
      <c r="AI5" s="13" t="s">
        <v>344</v>
      </c>
      <c r="AJ5" s="13" t="s">
        <v>344</v>
      </c>
      <c r="AK5" s="13" t="s">
        <v>344</v>
      </c>
      <c r="AL5" s="13" t="s">
        <v>344</v>
      </c>
      <c r="AM5" s="14" t="s">
        <v>335</v>
      </c>
      <c r="AN5" s="14" t="s">
        <v>346</v>
      </c>
      <c r="AO5" s="14" t="s">
        <v>347</v>
      </c>
      <c r="AP5" s="14" t="s">
        <v>348</v>
      </c>
      <c r="AQ5" s="11"/>
      <c r="AR5" s="12"/>
      <c r="AS5" s="15"/>
      <c r="AT5" s="9"/>
      <c r="AU5" s="16" t="s">
        <v>349</v>
      </c>
      <c r="AV5" s="14" t="s">
        <v>139</v>
      </c>
      <c r="AW5" s="14" t="s">
        <v>350</v>
      </c>
      <c r="AX5" s="14" t="s">
        <v>350</v>
      </c>
      <c r="AY5" s="14" t="s">
        <v>351</v>
      </c>
      <c r="AZ5" s="14" t="s">
        <v>338</v>
      </c>
      <c r="BA5" s="14" t="s">
        <v>338</v>
      </c>
      <c r="BB5" s="14" t="s">
        <v>338</v>
      </c>
      <c r="BC5" s="14" t="s">
        <v>353</v>
      </c>
      <c r="BD5" s="11"/>
      <c r="BE5" s="12"/>
      <c r="BF5" s="192"/>
      <c r="BG5" s="9"/>
      <c r="BH5" s="159" t="s">
        <v>291</v>
      </c>
      <c r="BI5" s="13" t="s">
        <v>354</v>
      </c>
      <c r="BJ5" s="59" t="s">
        <v>350</v>
      </c>
      <c r="BK5" s="17"/>
      <c r="BL5" s="11"/>
      <c r="BM5" s="11"/>
      <c r="BN5" s="12"/>
      <c r="BO5" s="12"/>
    </row>
    <row r="6" spans="1:67" s="18" customFormat="1" ht="16.5" customHeight="1">
      <c r="A6" s="19"/>
      <c r="B6" s="20" t="s">
        <v>22</v>
      </c>
      <c r="C6" s="21" t="s">
        <v>356</v>
      </c>
      <c r="D6" s="21" t="s">
        <v>357</v>
      </c>
      <c r="E6" s="20" t="s">
        <v>358</v>
      </c>
      <c r="F6" s="20" t="s">
        <v>359</v>
      </c>
      <c r="G6" s="20" t="s">
        <v>360</v>
      </c>
      <c r="H6" s="20" t="s">
        <v>361</v>
      </c>
      <c r="I6" s="12"/>
      <c r="J6" s="12"/>
      <c r="K6" s="19"/>
      <c r="L6" s="22" t="s">
        <v>362</v>
      </c>
      <c r="M6" s="22" t="s">
        <v>363</v>
      </c>
      <c r="N6" s="23" t="s">
        <v>370</v>
      </c>
      <c r="O6" s="23" t="s">
        <v>366</v>
      </c>
      <c r="P6" s="160" t="s">
        <v>421</v>
      </c>
      <c r="Q6" s="23" t="s">
        <v>367</v>
      </c>
      <c r="R6" s="65" t="s">
        <v>364</v>
      </c>
      <c r="S6" s="23" t="s">
        <v>380</v>
      </c>
      <c r="T6" s="23" t="s">
        <v>363</v>
      </c>
      <c r="U6" s="23" t="s">
        <v>371</v>
      </c>
      <c r="V6" s="23" t="s">
        <v>369</v>
      </c>
      <c r="W6" s="160" t="s">
        <v>385</v>
      </c>
      <c r="X6" s="23" t="s">
        <v>368</v>
      </c>
      <c r="Y6" s="23" t="s">
        <v>20</v>
      </c>
      <c r="Z6" s="23" t="s">
        <v>19</v>
      </c>
      <c r="AA6" s="20" t="s">
        <v>372</v>
      </c>
      <c r="AB6" s="12"/>
      <c r="AC6" s="15"/>
      <c r="AD6" s="19"/>
      <c r="AE6" s="22"/>
      <c r="AF6" s="22" t="s">
        <v>373</v>
      </c>
      <c r="AG6" s="23" t="s">
        <v>374</v>
      </c>
      <c r="AH6" s="23" t="s">
        <v>375</v>
      </c>
      <c r="AI6" s="23" t="s">
        <v>376</v>
      </c>
      <c r="AJ6" s="23" t="s">
        <v>377</v>
      </c>
      <c r="AK6" s="23" t="s">
        <v>378</v>
      </c>
      <c r="AL6" s="23" t="s">
        <v>379</v>
      </c>
      <c r="AM6" s="23" t="s">
        <v>365</v>
      </c>
      <c r="AN6" s="23" t="s">
        <v>381</v>
      </c>
      <c r="AO6" s="23" t="s">
        <v>382</v>
      </c>
      <c r="AP6" s="23" t="s">
        <v>383</v>
      </c>
      <c r="AQ6" s="20" t="s">
        <v>372</v>
      </c>
      <c r="AR6" s="12"/>
      <c r="AS6" s="15"/>
      <c r="AT6" s="19"/>
      <c r="AU6" s="22" t="s">
        <v>384</v>
      </c>
      <c r="AV6" s="23" t="s">
        <v>130</v>
      </c>
      <c r="AW6" s="23" t="s">
        <v>391</v>
      </c>
      <c r="AX6" s="23" t="s">
        <v>392</v>
      </c>
      <c r="AY6" s="23" t="s">
        <v>393</v>
      </c>
      <c r="AZ6" s="23" t="s">
        <v>394</v>
      </c>
      <c r="BA6" s="23" t="s">
        <v>467</v>
      </c>
      <c r="BB6" s="23" t="s">
        <v>395</v>
      </c>
      <c r="BC6" s="23" t="s">
        <v>396</v>
      </c>
      <c r="BD6" s="20" t="s">
        <v>372</v>
      </c>
      <c r="BE6" s="12"/>
      <c r="BF6" s="192"/>
      <c r="BG6" s="19"/>
      <c r="BH6" s="160" t="s">
        <v>397</v>
      </c>
      <c r="BI6" s="22" t="s">
        <v>147</v>
      </c>
      <c r="BJ6" s="65" t="s">
        <v>423</v>
      </c>
      <c r="BK6" s="24"/>
      <c r="BL6" s="20"/>
      <c r="BM6" s="20" t="s">
        <v>372</v>
      </c>
      <c r="BN6" s="12"/>
      <c r="BO6" s="12"/>
    </row>
    <row r="7" spans="1:67" ht="16.5" customHeight="1">
      <c r="A7" s="270" t="s">
        <v>401</v>
      </c>
      <c r="B7" s="152"/>
      <c r="C7" s="26"/>
      <c r="D7" s="26"/>
      <c r="E7" s="26"/>
      <c r="F7" s="26"/>
      <c r="G7" s="26"/>
      <c r="H7" s="26"/>
      <c r="I7" s="27"/>
      <c r="J7" s="27"/>
      <c r="K7" s="25" t="s">
        <v>401</v>
      </c>
      <c r="L7" s="26"/>
      <c r="M7" s="26"/>
      <c r="N7" s="26"/>
      <c r="O7" s="26"/>
      <c r="P7" s="151"/>
      <c r="Q7" s="26"/>
      <c r="R7" s="26"/>
      <c r="S7" s="26"/>
      <c r="T7" s="26"/>
      <c r="U7" s="26"/>
      <c r="V7" s="26"/>
      <c r="W7" s="151"/>
      <c r="X7" s="26"/>
      <c r="Y7" s="26"/>
      <c r="Z7" s="26"/>
      <c r="AA7" s="26"/>
      <c r="AB7" s="27"/>
      <c r="AC7" s="28"/>
      <c r="AD7" s="25" t="s">
        <v>401</v>
      </c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7"/>
      <c r="AS7" s="28"/>
      <c r="AT7" s="25" t="s">
        <v>401</v>
      </c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7"/>
      <c r="BF7" s="193"/>
      <c r="BG7" s="25" t="s">
        <v>401</v>
      </c>
      <c r="BH7" s="151"/>
      <c r="BI7" s="26"/>
      <c r="BJ7" s="140"/>
      <c r="BK7" s="26"/>
      <c r="BL7" s="26"/>
      <c r="BM7" s="26"/>
      <c r="BN7" s="27"/>
      <c r="BO7" s="27"/>
    </row>
    <row r="8" spans="1:68" ht="16.5" customHeight="1">
      <c r="A8" s="230" t="s">
        <v>23</v>
      </c>
      <c r="B8" s="29">
        <v>188275313</v>
      </c>
      <c r="C8" s="26">
        <f>AA8</f>
        <v>75911533</v>
      </c>
      <c r="D8" s="26">
        <f>BM8</f>
        <v>5750000</v>
      </c>
      <c r="E8" s="26">
        <f>SUM(B8:D8)</f>
        <v>269936846</v>
      </c>
      <c r="F8" s="26">
        <v>81661533</v>
      </c>
      <c r="G8" s="26">
        <v>0</v>
      </c>
      <c r="H8" s="26">
        <f>E8-F8+G8</f>
        <v>188275313</v>
      </c>
      <c r="I8" s="27"/>
      <c r="J8" s="27"/>
      <c r="K8" s="29" t="s">
        <v>23</v>
      </c>
      <c r="L8" s="26">
        <v>30000000</v>
      </c>
      <c r="M8" s="26">
        <v>2</v>
      </c>
      <c r="N8" s="26">
        <v>2000000</v>
      </c>
      <c r="O8" s="26">
        <v>2</v>
      </c>
      <c r="P8" s="149">
        <v>500000</v>
      </c>
      <c r="Q8" s="26">
        <v>1000000</v>
      </c>
      <c r="R8" s="26">
        <v>10000000</v>
      </c>
      <c r="S8" s="26">
        <v>2</v>
      </c>
      <c r="T8" s="26">
        <v>10000</v>
      </c>
      <c r="U8" s="26">
        <f>500000</f>
        <v>500000</v>
      </c>
      <c r="V8" s="26">
        <v>27111492</v>
      </c>
      <c r="W8" s="149">
        <v>2</v>
      </c>
      <c r="X8" s="26">
        <v>100000</v>
      </c>
      <c r="Y8" s="26">
        <f>AQ8</f>
        <v>4250017</v>
      </c>
      <c r="Z8" s="26">
        <f>BD8</f>
        <v>440016</v>
      </c>
      <c r="AA8" s="26">
        <f>SUM(L8:Z8)</f>
        <v>75911533</v>
      </c>
      <c r="AB8" s="27"/>
      <c r="AC8" s="28"/>
      <c r="AD8" s="29" t="s">
        <v>23</v>
      </c>
      <c r="AE8" s="26">
        <v>100000</v>
      </c>
      <c r="AF8" s="26">
        <v>2</v>
      </c>
      <c r="AG8" s="26">
        <v>2</v>
      </c>
      <c r="AH8" s="26">
        <v>3200002</v>
      </c>
      <c r="AI8" s="26">
        <v>2</v>
      </c>
      <c r="AJ8" s="26">
        <v>2</v>
      </c>
      <c r="AK8" s="26">
        <v>2.5</v>
      </c>
      <c r="AL8" s="26">
        <v>2.5</v>
      </c>
      <c r="AM8" s="26">
        <v>500000</v>
      </c>
      <c r="AN8" s="26">
        <v>2</v>
      </c>
      <c r="AO8" s="26">
        <v>250000</v>
      </c>
      <c r="AP8" s="26">
        <v>200000</v>
      </c>
      <c r="AQ8" s="26">
        <f>SUM(AE8:AP8)</f>
        <v>4250017</v>
      </c>
      <c r="AR8" s="28"/>
      <c r="AS8" s="28"/>
      <c r="AT8" s="29" t="s">
        <v>23</v>
      </c>
      <c r="AU8" s="26">
        <v>2</v>
      </c>
      <c r="AV8" s="26">
        <v>2</v>
      </c>
      <c r="AW8" s="26">
        <v>2</v>
      </c>
      <c r="AX8" s="26">
        <v>2</v>
      </c>
      <c r="AY8" s="26">
        <v>2</v>
      </c>
      <c r="AZ8" s="26">
        <v>2</v>
      </c>
      <c r="BA8" s="26">
        <v>2</v>
      </c>
      <c r="BB8" s="26">
        <v>2</v>
      </c>
      <c r="BC8" s="26">
        <v>440000</v>
      </c>
      <c r="BD8" s="26">
        <f>SUM(AU8:BC8)</f>
        <v>440016</v>
      </c>
      <c r="BE8" s="28"/>
      <c r="BF8" s="193"/>
      <c r="BG8" s="29" t="s">
        <v>23</v>
      </c>
      <c r="BH8" s="149">
        <v>1500000</v>
      </c>
      <c r="BI8" s="26">
        <v>4000000</v>
      </c>
      <c r="BJ8" s="141">
        <v>250000</v>
      </c>
      <c r="BK8" s="26"/>
      <c r="BL8" s="26">
        <v>0</v>
      </c>
      <c r="BM8" s="26">
        <f>SUM(BH8:BL8)</f>
        <v>5750000</v>
      </c>
      <c r="BN8" s="27"/>
      <c r="BO8" s="27"/>
      <c r="BP8" s="165"/>
    </row>
    <row r="9" spans="1:67" ht="16.5" customHeight="1">
      <c r="A9" s="230" t="s">
        <v>24</v>
      </c>
      <c r="B9" s="29">
        <v>0</v>
      </c>
      <c r="C9" s="26">
        <f>AA9</f>
        <v>0</v>
      </c>
      <c r="D9" s="26">
        <f>BM9</f>
        <v>0</v>
      </c>
      <c r="E9" s="26">
        <f>SUM(B9:D9)</f>
        <v>0</v>
      </c>
      <c r="F9" s="26">
        <v>0</v>
      </c>
      <c r="G9" s="26">
        <v>0</v>
      </c>
      <c r="H9" s="26">
        <f>E9-F9+G9</f>
        <v>0</v>
      </c>
      <c r="I9" s="27"/>
      <c r="J9" s="27"/>
      <c r="K9" s="29" t="s">
        <v>24</v>
      </c>
      <c r="L9" s="26">
        <v>0</v>
      </c>
      <c r="M9" s="26">
        <v>0</v>
      </c>
      <c r="N9" s="26">
        <v>0</v>
      </c>
      <c r="O9" s="26">
        <v>0</v>
      </c>
      <c r="P9" s="149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149">
        <v>0</v>
      </c>
      <c r="X9" s="26">
        <v>0</v>
      </c>
      <c r="Y9" s="26">
        <f>AQ9</f>
        <v>0</v>
      </c>
      <c r="Z9" s="26">
        <f>BD9</f>
        <v>0</v>
      </c>
      <c r="AA9" s="26">
        <f>SUM(L9:Z9)</f>
        <v>0</v>
      </c>
      <c r="AB9" s="27"/>
      <c r="AC9" s="28"/>
      <c r="AD9" s="29" t="s">
        <v>24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f>SUM(AE9:AP9)</f>
        <v>0</v>
      </c>
      <c r="AR9" s="27"/>
      <c r="AS9" s="28"/>
      <c r="AT9" s="29" t="s">
        <v>24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f>SUM(AU9:BC9)</f>
        <v>0</v>
      </c>
      <c r="BE9" s="27"/>
      <c r="BF9" s="193"/>
      <c r="BG9" s="29" t="s">
        <v>24</v>
      </c>
      <c r="BH9" s="149">
        <v>0</v>
      </c>
      <c r="BI9" s="26"/>
      <c r="BJ9" s="141">
        <v>0</v>
      </c>
      <c r="BK9" s="26"/>
      <c r="BL9" s="26">
        <v>0</v>
      </c>
      <c r="BM9" s="26">
        <f>SUM(BH9:BL9)</f>
        <v>0</v>
      </c>
      <c r="BN9" s="27"/>
      <c r="BO9" s="27"/>
    </row>
    <row r="10" spans="1:67" ht="16.5" customHeight="1">
      <c r="A10" s="230" t="s">
        <v>25</v>
      </c>
      <c r="B10" s="29">
        <v>403165878</v>
      </c>
      <c r="C10" s="26">
        <f>AA10</f>
        <v>10643376</v>
      </c>
      <c r="D10" s="26">
        <f>BM10</f>
        <v>671918</v>
      </c>
      <c r="E10" s="26">
        <f>SUM(B10:D10)</f>
        <v>414481172</v>
      </c>
      <c r="F10" s="26">
        <v>45060103</v>
      </c>
      <c r="G10" s="26">
        <v>59128219</v>
      </c>
      <c r="H10" s="26">
        <f>E10-F10+G10</f>
        <v>428549288</v>
      </c>
      <c r="I10" s="27"/>
      <c r="J10" s="27"/>
      <c r="K10" s="29" t="s">
        <v>25</v>
      </c>
      <c r="L10" s="26">
        <v>10639376</v>
      </c>
      <c r="M10" s="26">
        <v>0</v>
      </c>
      <c r="N10" s="26">
        <v>0</v>
      </c>
      <c r="O10" s="26">
        <v>0</v>
      </c>
      <c r="P10" s="149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149">
        <v>0</v>
      </c>
      <c r="X10" s="26">
        <v>0</v>
      </c>
      <c r="Y10" s="26">
        <f>AQ10</f>
        <v>0</v>
      </c>
      <c r="Z10" s="26">
        <f>BD10</f>
        <v>4000</v>
      </c>
      <c r="AA10" s="26">
        <f>SUM(L10:Z10)</f>
        <v>10643376</v>
      </c>
      <c r="AB10" s="27"/>
      <c r="AC10" s="28"/>
      <c r="AD10" s="29" t="s">
        <v>25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f>SUM(AE10:AP10)</f>
        <v>0</v>
      </c>
      <c r="AR10" s="27"/>
      <c r="AS10" s="28"/>
      <c r="AT10" s="29" t="s">
        <v>25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4000</v>
      </c>
      <c r="BD10" s="26">
        <f>SUM(AU10:BC10)</f>
        <v>4000</v>
      </c>
      <c r="BE10" s="27"/>
      <c r="BF10" s="193"/>
      <c r="BG10" s="29" t="s">
        <v>25</v>
      </c>
      <c r="BH10" s="149">
        <v>0</v>
      </c>
      <c r="BI10" s="26">
        <f>671918</f>
        <v>671918</v>
      </c>
      <c r="BJ10" s="141">
        <v>0</v>
      </c>
      <c r="BK10" s="26"/>
      <c r="BL10" s="26">
        <v>0</v>
      </c>
      <c r="BM10" s="26">
        <f>SUM(BH10:BL10)</f>
        <v>671918</v>
      </c>
      <c r="BN10" s="27"/>
      <c r="BO10" s="27"/>
    </row>
    <row r="11" spans="1:67" ht="16.5" customHeight="1">
      <c r="A11" s="230" t="s">
        <v>26</v>
      </c>
      <c r="B11" s="29">
        <v>0</v>
      </c>
      <c r="C11" s="26">
        <f>AA11</f>
        <v>0</v>
      </c>
      <c r="D11" s="26">
        <f>BM11</f>
        <v>0</v>
      </c>
      <c r="E11" s="26">
        <f>SUM(B11:D11)</f>
        <v>0</v>
      </c>
      <c r="F11" s="26">
        <v>1504551</v>
      </c>
      <c r="G11" s="26">
        <v>2600081</v>
      </c>
      <c r="H11" s="26">
        <f>E11-F11+G11</f>
        <v>1095530</v>
      </c>
      <c r="I11" s="27"/>
      <c r="J11" s="27"/>
      <c r="K11" s="29" t="s">
        <v>26</v>
      </c>
      <c r="L11" s="26">
        <v>0</v>
      </c>
      <c r="M11" s="26">
        <v>0</v>
      </c>
      <c r="N11" s="26">
        <v>0</v>
      </c>
      <c r="O11" s="26">
        <v>0</v>
      </c>
      <c r="P11" s="149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149">
        <v>0</v>
      </c>
      <c r="X11" s="26">
        <v>0</v>
      </c>
      <c r="Y11" s="26">
        <f>AQ11</f>
        <v>0</v>
      </c>
      <c r="Z11" s="26">
        <f>BD11</f>
        <v>0</v>
      </c>
      <c r="AA11" s="26">
        <f>SUM(L11:Z11)</f>
        <v>0</v>
      </c>
      <c r="AB11" s="27"/>
      <c r="AC11" s="28"/>
      <c r="AD11" s="29" t="s">
        <v>26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f>SUM(AE11:AP11)</f>
        <v>0</v>
      </c>
      <c r="AR11" s="27"/>
      <c r="AS11" s="28"/>
      <c r="AT11" s="29" t="s">
        <v>26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f>SUM(AU11:BC11)</f>
        <v>0</v>
      </c>
      <c r="BE11" s="27"/>
      <c r="BF11" s="193"/>
      <c r="BG11" s="29" t="s">
        <v>26</v>
      </c>
      <c r="BH11" s="149">
        <v>0</v>
      </c>
      <c r="BI11" s="26"/>
      <c r="BJ11" s="141">
        <v>0</v>
      </c>
      <c r="BK11" s="26"/>
      <c r="BL11" s="26">
        <v>0</v>
      </c>
      <c r="BM11" s="26">
        <f>SUM(BH11:BL11)</f>
        <v>0</v>
      </c>
      <c r="BN11" s="27"/>
      <c r="BO11" s="27"/>
    </row>
    <row r="12" spans="1:67" ht="16.5" customHeight="1">
      <c r="A12" s="230" t="s">
        <v>27</v>
      </c>
      <c r="B12" s="34">
        <f>'Con P&amp;L'!C43</f>
        <v>-810877126.58</v>
      </c>
      <c r="C12" s="31">
        <f>AA12</f>
        <v>-514337210.444</v>
      </c>
      <c r="D12" s="31">
        <f>BM12</f>
        <v>-86338153.53999999</v>
      </c>
      <c r="E12" s="31">
        <f>SUM(B12:D12)</f>
        <v>-1411552490.5640001</v>
      </c>
      <c r="F12" s="26">
        <v>236731373.83000004</v>
      </c>
      <c r="G12" s="26">
        <v>681744975.508</v>
      </c>
      <c r="H12" s="31">
        <f>E12-F12+G12</f>
        <v>-966538888.886</v>
      </c>
      <c r="I12" s="115"/>
      <c r="J12" s="27"/>
      <c r="K12" s="29" t="s">
        <v>27</v>
      </c>
      <c r="L12" s="31">
        <f>'Con P&amp;L'!M43</f>
        <v>6800864.96</v>
      </c>
      <c r="M12" s="31">
        <f>'Con P&amp;L'!N43</f>
        <v>-27645277.28</v>
      </c>
      <c r="N12" s="31">
        <f>'Con P&amp;L'!O43</f>
        <v>-76663754</v>
      </c>
      <c r="O12" s="31">
        <f>'Con P&amp;L'!P43</f>
        <v>-17665733</v>
      </c>
      <c r="P12" s="31">
        <f>'Con P&amp;L'!Q43</f>
        <v>-5356781.4</v>
      </c>
      <c r="Q12" s="31">
        <f>'Con P&amp;L'!R43</f>
        <v>-6448662</v>
      </c>
      <c r="R12" s="31">
        <f>'Con P&amp;L'!S43</f>
        <v>-208932618</v>
      </c>
      <c r="S12" s="31">
        <f>'Con P&amp;L'!T43</f>
        <v>-495317.52</v>
      </c>
      <c r="T12" s="31">
        <f>'Con P&amp;L'!U43</f>
        <v>-3866635</v>
      </c>
      <c r="U12" s="31">
        <f>'Con P&amp;L'!V43</f>
        <v>522533.12</v>
      </c>
      <c r="V12" s="142">
        <f>'Con P&amp;L'!W43</f>
        <v>-131280021</v>
      </c>
      <c r="W12" s="142">
        <f>'Con P&amp;L'!X43</f>
        <v>-6514958</v>
      </c>
      <c r="X12" s="31">
        <f>'Con P&amp;L'!Y43</f>
        <v>141312</v>
      </c>
      <c r="Y12" s="31">
        <f>AQ12</f>
        <v>-34686846.864</v>
      </c>
      <c r="Z12" s="31">
        <f>BD12</f>
        <v>-2245316.46</v>
      </c>
      <c r="AA12" s="31">
        <f>SUM(L12:Z12)</f>
        <v>-514337210.444</v>
      </c>
      <c r="AB12" s="27"/>
      <c r="AC12" s="28"/>
      <c r="AD12" s="29" t="s">
        <v>27</v>
      </c>
      <c r="AE12" s="31">
        <f>'Con P&amp;L'!AE43</f>
        <v>-174017.15</v>
      </c>
      <c r="AF12" s="31">
        <f>'Con P&amp;L'!AF43</f>
        <v>-13806</v>
      </c>
      <c r="AG12" s="31">
        <f>'Con P&amp;L'!AG43</f>
        <v>-6781742</v>
      </c>
      <c r="AH12" s="31">
        <f>'Con P&amp;L'!AH43</f>
        <v>-9014808.26</v>
      </c>
      <c r="AI12" s="31">
        <f>'Con P&amp;L'!AI43</f>
        <v>-4800</v>
      </c>
      <c r="AJ12" s="31">
        <f>'Con P&amp;L'!AJ43</f>
        <v>-4800</v>
      </c>
      <c r="AK12" s="31">
        <f>'Con P&amp;L'!AK43</f>
        <v>-10642.380000000001</v>
      </c>
      <c r="AL12" s="31">
        <f>'Con P&amp;L'!AL43</f>
        <v>-10642.5</v>
      </c>
      <c r="AM12" s="31">
        <f>'Con P&amp;L'!AM43</f>
        <v>-1634092.4</v>
      </c>
      <c r="AN12" s="31">
        <f>'Con P&amp;L'!AN43</f>
        <v>-2048740.1739999999</v>
      </c>
      <c r="AO12" s="31">
        <f>'Con P&amp;L'!AO43</f>
        <v>-986637</v>
      </c>
      <c r="AP12" s="31">
        <f>'Con P&amp;L'!AP43</f>
        <v>-14002119</v>
      </c>
      <c r="AQ12" s="31">
        <f>SUM(AE12:AP12)</f>
        <v>-34686846.864</v>
      </c>
      <c r="AR12" s="27"/>
      <c r="AS12" s="28"/>
      <c r="AT12" s="29" t="s">
        <v>27</v>
      </c>
      <c r="AU12" s="31">
        <f>'Con P&amp;L'!AT43</f>
        <v>-19161</v>
      </c>
      <c r="AV12" s="31">
        <v>0</v>
      </c>
      <c r="AW12" s="31">
        <f>'Con P&amp;L'!AV43</f>
        <v>-1511462.7</v>
      </c>
      <c r="AX12" s="31">
        <f>'Con P&amp;L'!AW43</f>
        <v>-10460.9</v>
      </c>
      <c r="AY12" s="31">
        <f>'Con P&amp;L'!AX43</f>
        <v>-40400</v>
      </c>
      <c r="AZ12" s="31">
        <f>'Con P&amp;L'!AY43</f>
        <v>-595593</v>
      </c>
      <c r="BA12" s="31">
        <f>'Con P&amp;L'!AZ43</f>
        <v>-7471.85</v>
      </c>
      <c r="BB12" s="31">
        <f>'Con P&amp;L'!BA43</f>
        <v>-7871.85</v>
      </c>
      <c r="BC12" s="31">
        <f>'Con P&amp;L'!BB43</f>
        <v>-52895.16</v>
      </c>
      <c r="BD12" s="31">
        <f>SUM(AU12:BC12)</f>
        <v>-2245316.46</v>
      </c>
      <c r="BE12" s="27"/>
      <c r="BF12" s="193"/>
      <c r="BG12" s="29" t="s">
        <v>27</v>
      </c>
      <c r="BH12" s="142">
        <f>'Con P&amp;L'!BG43</f>
        <v>-13199008.42</v>
      </c>
      <c r="BI12" s="142">
        <f>'Con P&amp;L'!BH43</f>
        <v>-16158435</v>
      </c>
      <c r="BJ12" s="142">
        <f>'Con P&amp;L'!BI43</f>
        <v>-56980710.12</v>
      </c>
      <c r="BK12" s="26"/>
      <c r="BL12" s="31">
        <v>0</v>
      </c>
      <c r="BM12" s="26">
        <f>SUM(BH12:BL12)</f>
        <v>-86338153.53999999</v>
      </c>
      <c r="BN12" s="27"/>
      <c r="BO12" s="27"/>
    </row>
    <row r="13" spans="1:67" ht="16.5" customHeight="1">
      <c r="A13" s="271"/>
      <c r="B13" s="29">
        <f>SUM(B8:B12)</f>
        <v>-219435935.58000004</v>
      </c>
      <c r="C13" s="26">
        <f>SUM(C8:C12)</f>
        <v>-427782301.444</v>
      </c>
      <c r="D13" s="26">
        <f>SUM(D8:D12)</f>
        <v>-79916235.53999999</v>
      </c>
      <c r="E13" s="26">
        <f>SUM(E8:E12)</f>
        <v>-727134472.5640001</v>
      </c>
      <c r="F13" s="30"/>
      <c r="G13" s="30"/>
      <c r="H13" s="26">
        <f>SUM(H8:H12)</f>
        <v>-348618757.88600004</v>
      </c>
      <c r="I13" s="27"/>
      <c r="J13" s="27"/>
      <c r="K13" s="32"/>
      <c r="L13" s="26">
        <f>SUM(L8:L12)</f>
        <v>47440240.96</v>
      </c>
      <c r="M13" s="26">
        <f>SUM(M8:M12)</f>
        <v>-27645275.28</v>
      </c>
      <c r="N13" s="26">
        <f>SUM(N8:N12)</f>
        <v>-74663754</v>
      </c>
      <c r="O13" s="26">
        <f>SUM(O8:O12)</f>
        <v>-17665731</v>
      </c>
      <c r="P13" s="26">
        <f aca="true" t="shared" si="0" ref="P13:X13">SUM(P8:P12)</f>
        <v>-4856781.4</v>
      </c>
      <c r="Q13" s="26">
        <f t="shared" si="0"/>
        <v>-5448662</v>
      </c>
      <c r="R13" s="26">
        <f t="shared" si="0"/>
        <v>-198932618</v>
      </c>
      <c r="S13" s="26">
        <f t="shared" si="0"/>
        <v>-495315.52</v>
      </c>
      <c r="T13" s="26">
        <f t="shared" si="0"/>
        <v>-3856635</v>
      </c>
      <c r="U13" s="26">
        <f t="shared" si="0"/>
        <v>1022533.12</v>
      </c>
      <c r="V13" s="26">
        <f t="shared" si="0"/>
        <v>-104168529</v>
      </c>
      <c r="W13" s="26">
        <f t="shared" si="0"/>
        <v>-6514956</v>
      </c>
      <c r="X13" s="26">
        <f t="shared" si="0"/>
        <v>241312</v>
      </c>
      <c r="Y13" s="26">
        <f>SUM(Y8:Y12)</f>
        <v>-30436829.864</v>
      </c>
      <c r="Z13" s="26">
        <f>SUM(Z8:Z12)</f>
        <v>-1801300.46</v>
      </c>
      <c r="AA13" s="26">
        <f>SUM(AA8:AA12)</f>
        <v>-427782301.444</v>
      </c>
      <c r="AB13" s="27"/>
      <c r="AC13" s="28"/>
      <c r="AD13" s="32"/>
      <c r="AE13" s="26">
        <f aca="true" t="shared" si="1" ref="AE13:AQ13">SUM(AE8:AE12)</f>
        <v>-74017.15</v>
      </c>
      <c r="AF13" s="26">
        <f t="shared" si="1"/>
        <v>-13804</v>
      </c>
      <c r="AG13" s="26">
        <f t="shared" si="1"/>
        <v>-6781740</v>
      </c>
      <c r="AH13" s="26">
        <f t="shared" si="1"/>
        <v>-5814806.26</v>
      </c>
      <c r="AI13" s="26">
        <f t="shared" si="1"/>
        <v>-4798</v>
      </c>
      <c r="AJ13" s="26">
        <f t="shared" si="1"/>
        <v>-4798</v>
      </c>
      <c r="AK13" s="26">
        <f t="shared" si="1"/>
        <v>-10639.880000000001</v>
      </c>
      <c r="AL13" s="26">
        <f t="shared" si="1"/>
        <v>-10640</v>
      </c>
      <c r="AM13" s="26">
        <f>SUM(AM8:AM12)</f>
        <v>-1134092.4</v>
      </c>
      <c r="AN13" s="26">
        <f t="shared" si="1"/>
        <v>-2048738.1739999999</v>
      </c>
      <c r="AO13" s="26">
        <f t="shared" si="1"/>
        <v>-736637</v>
      </c>
      <c r="AP13" s="26">
        <f t="shared" si="1"/>
        <v>-13802119</v>
      </c>
      <c r="AQ13" s="26">
        <f t="shared" si="1"/>
        <v>-30436829.864</v>
      </c>
      <c r="AR13" s="27"/>
      <c r="AS13" s="28"/>
      <c r="AT13" s="32"/>
      <c r="AU13" s="26">
        <f aca="true" t="shared" si="2" ref="AU13:BD13">SUM(AU8:AU12)</f>
        <v>-19159</v>
      </c>
      <c r="AV13" s="26">
        <f>SUM(AV8:AV12)</f>
        <v>2</v>
      </c>
      <c r="AW13" s="26">
        <f t="shared" si="2"/>
        <v>-1511460.7</v>
      </c>
      <c r="AX13" s="26">
        <f t="shared" si="2"/>
        <v>-10458.9</v>
      </c>
      <c r="AY13" s="26">
        <f t="shared" si="2"/>
        <v>-40398</v>
      </c>
      <c r="AZ13" s="26">
        <f t="shared" si="2"/>
        <v>-595591</v>
      </c>
      <c r="BA13" s="26">
        <f t="shared" si="2"/>
        <v>-7469.85</v>
      </c>
      <c r="BB13" s="26">
        <f t="shared" si="2"/>
        <v>-7869.85</v>
      </c>
      <c r="BC13" s="26">
        <f t="shared" si="2"/>
        <v>391104.83999999997</v>
      </c>
      <c r="BD13" s="26">
        <f t="shared" si="2"/>
        <v>-1801300.46</v>
      </c>
      <c r="BE13" s="27"/>
      <c r="BF13" s="193"/>
      <c r="BG13" s="32"/>
      <c r="BH13" s="152">
        <f aca="true" t="shared" si="3" ref="BH13:BM13">SUM(BH8:BH12)</f>
        <v>-11699008.42</v>
      </c>
      <c r="BI13" s="152">
        <f t="shared" si="3"/>
        <v>-11486517</v>
      </c>
      <c r="BJ13" s="152">
        <f t="shared" si="3"/>
        <v>-56730710.12</v>
      </c>
      <c r="BK13" s="152"/>
      <c r="BL13" s="26">
        <f t="shared" si="3"/>
        <v>0</v>
      </c>
      <c r="BM13" s="33">
        <f t="shared" si="3"/>
        <v>-79916235.53999999</v>
      </c>
      <c r="BN13" s="27"/>
      <c r="BO13" s="27"/>
    </row>
    <row r="14" spans="1:67" ht="16.5" customHeight="1">
      <c r="A14" s="272" t="s">
        <v>402</v>
      </c>
      <c r="B14" s="35">
        <v>0</v>
      </c>
      <c r="C14" s="26">
        <f>AA14</f>
        <v>0</v>
      </c>
      <c r="D14" s="26">
        <f>BM14</f>
        <v>0</v>
      </c>
      <c r="E14" s="26">
        <f>SUM(B14:D14)</f>
        <v>0</v>
      </c>
      <c r="F14" s="26">
        <v>25042967</v>
      </c>
      <c r="G14" s="26">
        <v>25042967</v>
      </c>
      <c r="H14" s="26">
        <f>E14-F14+G14</f>
        <v>0</v>
      </c>
      <c r="I14" s="114"/>
      <c r="J14" s="27"/>
      <c r="K14" s="25" t="s">
        <v>402</v>
      </c>
      <c r="L14" s="30">
        <v>0</v>
      </c>
      <c r="M14" s="26">
        <v>0</v>
      </c>
      <c r="N14" s="26">
        <v>0</v>
      </c>
      <c r="O14" s="26">
        <v>0</v>
      </c>
      <c r="P14" s="153">
        <v>0</v>
      </c>
      <c r="Q14" s="26">
        <v>0</v>
      </c>
      <c r="R14" s="30">
        <v>0</v>
      </c>
      <c r="S14" s="26">
        <v>0</v>
      </c>
      <c r="T14" s="26">
        <v>0</v>
      </c>
      <c r="U14" s="26">
        <v>0</v>
      </c>
      <c r="V14" s="26">
        <v>0</v>
      </c>
      <c r="W14" s="153">
        <v>0</v>
      </c>
      <c r="X14" s="26">
        <v>0</v>
      </c>
      <c r="Y14" s="26">
        <f>AQ14</f>
        <v>0</v>
      </c>
      <c r="Z14" s="26">
        <f>BD14</f>
        <v>0</v>
      </c>
      <c r="AA14" s="26">
        <f>SUM(L14:Z14)</f>
        <v>0</v>
      </c>
      <c r="AB14" s="27"/>
      <c r="AC14" s="28"/>
      <c r="AD14" s="25" t="s">
        <v>402</v>
      </c>
      <c r="AE14" s="30">
        <v>0</v>
      </c>
      <c r="AF14" s="26">
        <v>0</v>
      </c>
      <c r="AG14" s="26">
        <v>0</v>
      </c>
      <c r="AH14" s="30"/>
      <c r="AI14" s="26">
        <v>0</v>
      </c>
      <c r="AJ14" s="26">
        <v>0</v>
      </c>
      <c r="AK14" s="26">
        <v>0</v>
      </c>
      <c r="AL14" s="26">
        <v>0</v>
      </c>
      <c r="AM14" s="30"/>
      <c r="AN14" s="26">
        <v>0</v>
      </c>
      <c r="AO14" s="26">
        <v>0</v>
      </c>
      <c r="AP14" s="26">
        <f>CG14</f>
        <v>0</v>
      </c>
      <c r="AQ14" s="26">
        <f>SUM(AE14:AP14)</f>
        <v>0</v>
      </c>
      <c r="AR14" s="27"/>
      <c r="AS14" s="28"/>
      <c r="AT14" s="25" t="s">
        <v>402</v>
      </c>
      <c r="AU14" s="30">
        <v>0</v>
      </c>
      <c r="AV14" s="26">
        <v>0</v>
      </c>
      <c r="AW14" s="26">
        <v>0</v>
      </c>
      <c r="AX14" s="30"/>
      <c r="AY14" s="26">
        <v>0</v>
      </c>
      <c r="AZ14" s="26">
        <v>0</v>
      </c>
      <c r="BA14" s="26">
        <v>0</v>
      </c>
      <c r="BB14" s="26">
        <v>0</v>
      </c>
      <c r="BC14" s="26">
        <f>DA14</f>
        <v>0</v>
      </c>
      <c r="BD14" s="26">
        <f>SUM(AU14:BC14)</f>
        <v>0</v>
      </c>
      <c r="BE14" s="27"/>
      <c r="BF14" s="193"/>
      <c r="BG14" s="25" t="s">
        <v>402</v>
      </c>
      <c r="BH14" s="153">
        <v>0</v>
      </c>
      <c r="BI14" s="26"/>
      <c r="BJ14" s="143">
        <v>0</v>
      </c>
      <c r="BK14" s="26"/>
      <c r="BL14" s="26">
        <v>0</v>
      </c>
      <c r="BM14" s="26">
        <f>SUM(BH14:BL14)</f>
        <v>0</v>
      </c>
      <c r="BN14" s="27"/>
      <c r="BO14" s="27"/>
    </row>
    <row r="15" spans="1:67" ht="16.5" customHeight="1">
      <c r="A15" s="272" t="s">
        <v>403</v>
      </c>
      <c r="B15" s="35"/>
      <c r="C15" s="26"/>
      <c r="D15" s="26"/>
      <c r="E15" s="26"/>
      <c r="F15" s="26"/>
      <c r="G15" s="26"/>
      <c r="H15" s="26"/>
      <c r="I15" s="27"/>
      <c r="J15" s="27"/>
      <c r="K15" s="25" t="s">
        <v>403</v>
      </c>
      <c r="L15" s="30"/>
      <c r="M15" s="26"/>
      <c r="N15" s="26"/>
      <c r="O15" s="26"/>
      <c r="P15" s="154"/>
      <c r="Q15" s="26"/>
      <c r="R15" s="30"/>
      <c r="S15" s="26"/>
      <c r="T15" s="26"/>
      <c r="U15" s="26"/>
      <c r="V15" s="26"/>
      <c r="W15" s="154"/>
      <c r="X15" s="26"/>
      <c r="Y15" s="26"/>
      <c r="Z15" s="26"/>
      <c r="AA15" s="26"/>
      <c r="AB15" s="27"/>
      <c r="AC15" s="28"/>
      <c r="AD15" s="25" t="s">
        <v>403</v>
      </c>
      <c r="AE15" s="30"/>
      <c r="AF15" s="26"/>
      <c r="AG15" s="26"/>
      <c r="AH15" s="30"/>
      <c r="AI15" s="26"/>
      <c r="AJ15" s="26"/>
      <c r="AK15" s="26"/>
      <c r="AL15" s="26"/>
      <c r="AM15" s="30"/>
      <c r="AN15" s="26"/>
      <c r="AO15" s="26"/>
      <c r="AP15" s="26"/>
      <c r="AQ15" s="26"/>
      <c r="AR15" s="27"/>
      <c r="AS15" s="28"/>
      <c r="AT15" s="25" t="s">
        <v>403</v>
      </c>
      <c r="AU15" s="30"/>
      <c r="AV15" s="26"/>
      <c r="AW15" s="26"/>
      <c r="AX15" s="30"/>
      <c r="AY15" s="26"/>
      <c r="AZ15" s="26"/>
      <c r="BA15" s="26"/>
      <c r="BB15" s="26"/>
      <c r="BC15" s="26"/>
      <c r="BD15" s="26"/>
      <c r="BE15" s="27"/>
      <c r="BF15" s="193"/>
      <c r="BG15" s="25" t="s">
        <v>403</v>
      </c>
      <c r="BH15" s="154"/>
      <c r="BI15" s="26"/>
      <c r="BJ15" s="144"/>
      <c r="BK15" s="26"/>
      <c r="BL15" s="26"/>
      <c r="BM15" s="26"/>
      <c r="BN15" s="27"/>
      <c r="BO15" s="27"/>
    </row>
    <row r="16" spans="1:67" ht="16.5" customHeight="1">
      <c r="A16" s="221" t="s">
        <v>451</v>
      </c>
      <c r="B16" s="35">
        <v>0</v>
      </c>
      <c r="C16" s="26">
        <f>AA16</f>
        <v>0</v>
      </c>
      <c r="D16" s="26">
        <f>BM16</f>
        <v>0</v>
      </c>
      <c r="E16" s="26">
        <f>SUM(B16:D16)</f>
        <v>0</v>
      </c>
      <c r="F16" s="26"/>
      <c r="G16" s="26"/>
      <c r="H16" s="26">
        <f>E16-F16+G16</f>
        <v>0</v>
      </c>
      <c r="I16" s="27"/>
      <c r="J16" s="27"/>
      <c r="K16" s="25"/>
      <c r="L16" s="30">
        <v>0</v>
      </c>
      <c r="M16" s="26">
        <v>0</v>
      </c>
      <c r="N16" s="26"/>
      <c r="O16" s="26"/>
      <c r="P16" s="154"/>
      <c r="Q16" s="26"/>
      <c r="R16" s="30">
        <v>0</v>
      </c>
      <c r="S16" s="26">
        <v>0</v>
      </c>
      <c r="T16" s="26">
        <v>0</v>
      </c>
      <c r="U16" s="26">
        <v>0</v>
      </c>
      <c r="V16" s="26">
        <v>0</v>
      </c>
      <c r="W16" s="154">
        <v>0</v>
      </c>
      <c r="X16" s="26"/>
      <c r="Y16" s="26"/>
      <c r="Z16" s="26"/>
      <c r="AA16" s="26">
        <f>SUM(L16:Z16)</f>
        <v>0</v>
      </c>
      <c r="AB16" s="27"/>
      <c r="AC16" s="28"/>
      <c r="AD16" s="25"/>
      <c r="AE16" s="30"/>
      <c r="AF16" s="26"/>
      <c r="AG16" s="26"/>
      <c r="AH16" s="30"/>
      <c r="AI16" s="26"/>
      <c r="AJ16" s="26"/>
      <c r="AK16" s="26"/>
      <c r="AL16" s="26"/>
      <c r="AM16" s="30"/>
      <c r="AN16" s="26"/>
      <c r="AO16" s="26"/>
      <c r="AP16" s="26"/>
      <c r="AQ16" s="26"/>
      <c r="AR16" s="27"/>
      <c r="AS16" s="28"/>
      <c r="AT16" s="25"/>
      <c r="AU16" s="30"/>
      <c r="AV16" s="26">
        <v>0</v>
      </c>
      <c r="AW16" s="26"/>
      <c r="AX16" s="30"/>
      <c r="AY16" s="26"/>
      <c r="AZ16" s="26"/>
      <c r="BA16" s="26"/>
      <c r="BB16" s="26"/>
      <c r="BC16" s="26"/>
      <c r="BD16" s="26"/>
      <c r="BE16" s="27"/>
      <c r="BF16" s="193"/>
      <c r="BG16" s="162" t="s">
        <v>451</v>
      </c>
      <c r="BH16" s="154">
        <v>0</v>
      </c>
      <c r="BI16" s="26">
        <f>181015-181015</f>
        <v>0</v>
      </c>
      <c r="BJ16" s="144">
        <v>0</v>
      </c>
      <c r="BK16" s="26"/>
      <c r="BL16" s="26"/>
      <c r="BM16" s="26">
        <f>SUM(BH16:BL16)</f>
        <v>0</v>
      </c>
      <c r="BN16" s="27"/>
      <c r="BO16" s="27"/>
    </row>
    <row r="17" spans="1:67" ht="16.5" customHeight="1">
      <c r="A17" s="230" t="s">
        <v>41</v>
      </c>
      <c r="B17" s="29">
        <v>0</v>
      </c>
      <c r="C17" s="26">
        <f>AA17</f>
        <v>3479112</v>
      </c>
      <c r="D17" s="26">
        <f>BM17</f>
        <v>0</v>
      </c>
      <c r="E17" s="26">
        <f>SUM(B17:D17)</f>
        <v>3479112</v>
      </c>
      <c r="F17" s="26">
        <v>10042138</v>
      </c>
      <c r="G17" s="26">
        <v>18479151</v>
      </c>
      <c r="H17" s="26">
        <f>E17-F17+G17</f>
        <v>11916125</v>
      </c>
      <c r="I17" s="28"/>
      <c r="J17" s="27"/>
      <c r="K17" s="29" t="s">
        <v>41</v>
      </c>
      <c r="L17" s="26">
        <v>2077002</v>
      </c>
      <c r="M17" s="26">
        <v>0</v>
      </c>
      <c r="N17" s="26">
        <v>1347710</v>
      </c>
      <c r="O17" s="26">
        <v>0</v>
      </c>
      <c r="P17" s="149">
        <v>0</v>
      </c>
      <c r="Q17" s="26">
        <v>0</v>
      </c>
      <c r="R17" s="26">
        <v>0</v>
      </c>
      <c r="S17" s="26">
        <v>0</v>
      </c>
      <c r="T17" s="26">
        <v>0</v>
      </c>
      <c r="U17" s="26">
        <v>54400</v>
      </c>
      <c r="V17" s="26">
        <v>0</v>
      </c>
      <c r="W17" s="149">
        <v>0</v>
      </c>
      <c r="X17" s="26">
        <v>0</v>
      </c>
      <c r="Y17" s="26">
        <f>AQ17</f>
        <v>0</v>
      </c>
      <c r="Z17" s="26">
        <f>BD17</f>
        <v>0</v>
      </c>
      <c r="AA17" s="26">
        <f>SUM(L17:Z17)</f>
        <v>3479112</v>
      </c>
      <c r="AB17" s="27"/>
      <c r="AC17" s="28"/>
      <c r="AD17" s="29" t="s">
        <v>41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f>SUM(AE17:AP17)</f>
        <v>0</v>
      </c>
      <c r="AR17" s="27"/>
      <c r="AS17" s="28"/>
      <c r="AT17" s="29" t="s">
        <v>41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f>SUM(AU17:BC17)</f>
        <v>0</v>
      </c>
      <c r="BE17" s="27"/>
      <c r="BF17" s="193"/>
      <c r="BG17" s="29" t="s">
        <v>41</v>
      </c>
      <c r="BH17" s="153">
        <v>0</v>
      </c>
      <c r="BI17" s="26"/>
      <c r="BJ17" s="143">
        <v>0</v>
      </c>
      <c r="BK17" s="26"/>
      <c r="BL17" s="26">
        <v>0</v>
      </c>
      <c r="BM17" s="26">
        <f>SUM(BH17:BL17)</f>
        <v>0</v>
      </c>
      <c r="BN17" s="27"/>
      <c r="BO17" s="27"/>
    </row>
    <row r="18" spans="1:67" ht="16.5" customHeight="1">
      <c r="A18" s="230" t="s">
        <v>42</v>
      </c>
      <c r="B18" s="29">
        <v>0</v>
      </c>
      <c r="C18" s="26">
        <f>AA18</f>
        <v>0</v>
      </c>
      <c r="D18" s="26">
        <f>BM18</f>
        <v>6206138</v>
      </c>
      <c r="E18" s="26">
        <f>SUM(B18:D18)</f>
        <v>6206138</v>
      </c>
      <c r="F18" s="26"/>
      <c r="G18" s="26"/>
      <c r="H18" s="26">
        <f>E18-F18+G18</f>
        <v>6206138</v>
      </c>
      <c r="I18" s="28"/>
      <c r="J18" s="27"/>
      <c r="K18" s="29" t="s">
        <v>42</v>
      </c>
      <c r="L18" s="26">
        <v>0</v>
      </c>
      <c r="M18" s="26">
        <v>0</v>
      </c>
      <c r="N18" s="26">
        <v>0</v>
      </c>
      <c r="O18" s="26">
        <v>0</v>
      </c>
      <c r="P18" s="149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149">
        <v>0</v>
      </c>
      <c r="X18" s="26">
        <v>0</v>
      </c>
      <c r="Y18" s="26">
        <f>AQ18</f>
        <v>0</v>
      </c>
      <c r="Z18" s="26">
        <f>BD18</f>
        <v>0</v>
      </c>
      <c r="AA18" s="26">
        <f>SUM(L18:Z18)</f>
        <v>0</v>
      </c>
      <c r="AB18" s="27"/>
      <c r="AC18" s="28"/>
      <c r="AD18" s="29" t="s">
        <v>42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f>SUM(AE18:AP18)</f>
        <v>0</v>
      </c>
      <c r="AR18" s="27"/>
      <c r="AS18" s="28"/>
      <c r="AT18" s="29" t="s">
        <v>42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f>SUM(AU18:BC18)</f>
        <v>0</v>
      </c>
      <c r="BE18" s="27"/>
      <c r="BF18" s="193"/>
      <c r="BG18" s="29" t="s">
        <v>42</v>
      </c>
      <c r="BH18" s="153">
        <v>1532670</v>
      </c>
      <c r="BI18" s="26"/>
      <c r="BJ18" s="141">
        <v>4673468</v>
      </c>
      <c r="BK18" s="26"/>
      <c r="BL18" s="26">
        <v>0</v>
      </c>
      <c r="BM18" s="26">
        <f>SUM(BH18:BL18)</f>
        <v>6206138</v>
      </c>
      <c r="BN18" s="27"/>
      <c r="BO18" s="27"/>
    </row>
    <row r="19" spans="1:67" ht="16.5" customHeight="1">
      <c r="A19" s="230"/>
      <c r="B19" s="34"/>
      <c r="C19" s="31"/>
      <c r="D19" s="31"/>
      <c r="E19" s="31"/>
      <c r="F19" s="26"/>
      <c r="G19" s="26"/>
      <c r="H19" s="34"/>
      <c r="I19" s="28"/>
      <c r="J19" s="27"/>
      <c r="K19" s="29"/>
      <c r="L19" s="34"/>
      <c r="M19" s="31"/>
      <c r="N19" s="31"/>
      <c r="O19" s="31"/>
      <c r="P19" s="149"/>
      <c r="Q19" s="31"/>
      <c r="R19" s="34"/>
      <c r="S19" s="31"/>
      <c r="T19" s="31"/>
      <c r="U19" s="31"/>
      <c r="V19" s="31"/>
      <c r="W19" s="142"/>
      <c r="X19" s="31"/>
      <c r="Y19" s="31"/>
      <c r="Z19" s="31"/>
      <c r="AA19" s="31"/>
      <c r="AB19" s="27"/>
      <c r="AC19" s="28"/>
      <c r="AD19" s="29"/>
      <c r="AE19" s="34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27"/>
      <c r="AS19" s="28"/>
      <c r="AT19" s="29"/>
      <c r="AU19" s="34"/>
      <c r="AV19" s="31"/>
      <c r="AW19" s="31"/>
      <c r="AX19" s="31"/>
      <c r="AY19" s="31"/>
      <c r="AZ19" s="31"/>
      <c r="BA19" s="31"/>
      <c r="BB19" s="31"/>
      <c r="BC19" s="31"/>
      <c r="BD19" s="31"/>
      <c r="BE19" s="27"/>
      <c r="BF19" s="193"/>
      <c r="BG19" s="29"/>
      <c r="BH19" s="163"/>
      <c r="BI19" s="31"/>
      <c r="BJ19" s="141"/>
      <c r="BK19" s="31"/>
      <c r="BL19" s="31"/>
      <c r="BM19" s="31"/>
      <c r="BN19" s="27"/>
      <c r="BO19" s="27"/>
    </row>
    <row r="20" spans="1:67" ht="16.5" customHeight="1" thickBot="1">
      <c r="A20" s="273"/>
      <c r="B20" s="36">
        <f>SUM(B13:B19)</f>
        <v>-219435935.58000004</v>
      </c>
      <c r="C20" s="36">
        <f>SUM(C13:C19)</f>
        <v>-424303189.444</v>
      </c>
      <c r="D20" s="36">
        <f>SUM(D13:D19)</f>
        <v>-73710097.53999999</v>
      </c>
      <c r="E20" s="36">
        <f>SUM(E13:E19)</f>
        <v>-717449222.5640001</v>
      </c>
      <c r="F20" s="30"/>
      <c r="G20" s="30"/>
      <c r="H20" s="36">
        <f>SUM(H13:H19)</f>
        <v>-330496494.88600004</v>
      </c>
      <c r="I20" s="27"/>
      <c r="J20" s="27"/>
      <c r="K20" s="35"/>
      <c r="L20" s="36">
        <f>SUM(L13:L19)</f>
        <v>49517242.96</v>
      </c>
      <c r="M20" s="36">
        <f>SUM(M13:M19)</f>
        <v>-27645275.28</v>
      </c>
      <c r="N20" s="36">
        <f>SUM(N13:N19)</f>
        <v>-73316044</v>
      </c>
      <c r="O20" s="36">
        <f>SUM(O13:O19)</f>
        <v>-17665731</v>
      </c>
      <c r="P20" s="36">
        <f aca="true" t="shared" si="4" ref="P20:X20">SUM(P13:P19)</f>
        <v>-4856781.4</v>
      </c>
      <c r="Q20" s="36">
        <f t="shared" si="4"/>
        <v>-5448662</v>
      </c>
      <c r="R20" s="36">
        <f t="shared" si="4"/>
        <v>-198932618</v>
      </c>
      <c r="S20" s="36">
        <f t="shared" si="4"/>
        <v>-495315.52</v>
      </c>
      <c r="T20" s="36">
        <f t="shared" si="4"/>
        <v>-3856635</v>
      </c>
      <c r="U20" s="36">
        <f t="shared" si="4"/>
        <v>1076933.12</v>
      </c>
      <c r="V20" s="36">
        <f t="shared" si="4"/>
        <v>-104168529</v>
      </c>
      <c r="W20" s="36">
        <f t="shared" si="4"/>
        <v>-6514956</v>
      </c>
      <c r="X20" s="36">
        <f t="shared" si="4"/>
        <v>241312</v>
      </c>
      <c r="Y20" s="36">
        <f>SUM(Y13:Y19)</f>
        <v>-30436829.864</v>
      </c>
      <c r="Z20" s="36">
        <f>SUM(Z13:Z19)</f>
        <v>-1801300.46</v>
      </c>
      <c r="AA20" s="36">
        <f>SUM(AA13:AA19)</f>
        <v>-424303189.444</v>
      </c>
      <c r="AB20" s="27"/>
      <c r="AC20" s="28"/>
      <c r="AD20" s="35"/>
      <c r="AE20" s="36">
        <f aca="true" t="shared" si="5" ref="AE20:AQ20">SUM(AE13:AE19)</f>
        <v>-74017.15</v>
      </c>
      <c r="AF20" s="36">
        <f t="shared" si="5"/>
        <v>-13804</v>
      </c>
      <c r="AG20" s="36">
        <f t="shared" si="5"/>
        <v>-6781740</v>
      </c>
      <c r="AH20" s="36">
        <f t="shared" si="5"/>
        <v>-5814806.26</v>
      </c>
      <c r="AI20" s="36">
        <f t="shared" si="5"/>
        <v>-4798</v>
      </c>
      <c r="AJ20" s="36">
        <f t="shared" si="5"/>
        <v>-4798</v>
      </c>
      <c r="AK20" s="36">
        <f t="shared" si="5"/>
        <v>-10639.880000000001</v>
      </c>
      <c r="AL20" s="36">
        <f t="shared" si="5"/>
        <v>-10640</v>
      </c>
      <c r="AM20" s="36">
        <f>SUM(AM13:AM19)</f>
        <v>-1134092.4</v>
      </c>
      <c r="AN20" s="36">
        <f t="shared" si="5"/>
        <v>-2048738.1739999999</v>
      </c>
      <c r="AO20" s="36">
        <f t="shared" si="5"/>
        <v>-736637</v>
      </c>
      <c r="AP20" s="36">
        <f t="shared" si="5"/>
        <v>-13802119</v>
      </c>
      <c r="AQ20" s="36">
        <f t="shared" si="5"/>
        <v>-30436829.864</v>
      </c>
      <c r="AR20" s="27"/>
      <c r="AS20" s="28"/>
      <c r="AT20" s="35"/>
      <c r="AU20" s="36">
        <f aca="true" t="shared" si="6" ref="AU20:BD20">SUM(AU13:AU19)</f>
        <v>-19159</v>
      </c>
      <c r="AV20" s="36">
        <f>SUM(AV13:AV19)</f>
        <v>2</v>
      </c>
      <c r="AW20" s="36">
        <f t="shared" si="6"/>
        <v>-1511460.7</v>
      </c>
      <c r="AX20" s="36">
        <f t="shared" si="6"/>
        <v>-10458.9</v>
      </c>
      <c r="AY20" s="36">
        <f t="shared" si="6"/>
        <v>-40398</v>
      </c>
      <c r="AZ20" s="36">
        <f t="shared" si="6"/>
        <v>-595591</v>
      </c>
      <c r="BA20" s="36">
        <f t="shared" si="6"/>
        <v>-7469.85</v>
      </c>
      <c r="BB20" s="36">
        <f t="shared" si="6"/>
        <v>-7869.85</v>
      </c>
      <c r="BC20" s="36">
        <f t="shared" si="6"/>
        <v>391104.83999999997</v>
      </c>
      <c r="BD20" s="36">
        <f t="shared" si="6"/>
        <v>-1801300.46</v>
      </c>
      <c r="BE20" s="27"/>
      <c r="BF20" s="193"/>
      <c r="BG20" s="35"/>
      <c r="BH20" s="36">
        <f aca="true" t="shared" si="7" ref="BH20:BM20">SUM(BH13:BH19)</f>
        <v>-10166338.42</v>
      </c>
      <c r="BI20" s="36">
        <f>SUM(BI13:BI19)</f>
        <v>-11486517</v>
      </c>
      <c r="BJ20" s="36">
        <f>SUM(BJ13:BJ19)</f>
        <v>-52057242.12</v>
      </c>
      <c r="BK20" s="36"/>
      <c r="BL20" s="36">
        <f t="shared" si="7"/>
        <v>0</v>
      </c>
      <c r="BM20" s="36">
        <f t="shared" si="7"/>
        <v>-73710097.53999999</v>
      </c>
      <c r="BN20" s="27"/>
      <c r="BO20" s="27"/>
    </row>
    <row r="21" spans="1:67" ht="16.5" customHeight="1" thickTop="1">
      <c r="A21" s="273" t="s">
        <v>404</v>
      </c>
      <c r="B21" s="29"/>
      <c r="C21" s="26"/>
      <c r="D21" s="26"/>
      <c r="E21" s="26"/>
      <c r="F21" s="30"/>
      <c r="G21" s="30"/>
      <c r="H21" s="26"/>
      <c r="I21" s="27"/>
      <c r="J21" s="27"/>
      <c r="K21" s="35" t="s">
        <v>404</v>
      </c>
      <c r="L21" s="26"/>
      <c r="M21" s="26"/>
      <c r="N21" s="26"/>
      <c r="O21" s="26"/>
      <c r="P21" s="155"/>
      <c r="Q21" s="26"/>
      <c r="R21" s="26"/>
      <c r="S21" s="26"/>
      <c r="T21" s="26"/>
      <c r="U21" s="26"/>
      <c r="V21" s="26"/>
      <c r="W21" s="155"/>
      <c r="X21" s="26"/>
      <c r="Y21" s="26"/>
      <c r="Z21" s="26"/>
      <c r="AA21" s="26"/>
      <c r="AB21" s="27"/>
      <c r="AC21" s="28"/>
      <c r="AD21" s="35" t="s">
        <v>404</v>
      </c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7"/>
      <c r="AS21" s="28"/>
      <c r="AT21" s="35" t="s">
        <v>404</v>
      </c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7"/>
      <c r="BF21" s="193"/>
      <c r="BG21" s="35" t="s">
        <v>404</v>
      </c>
      <c r="BH21" s="155"/>
      <c r="BI21" s="26"/>
      <c r="BJ21" s="145"/>
      <c r="BK21" s="26"/>
      <c r="BL21" s="26"/>
      <c r="BM21" s="26"/>
      <c r="BN21" s="27"/>
      <c r="BO21" s="27"/>
    </row>
    <row r="22" spans="1:67" ht="16.5" customHeight="1">
      <c r="A22" s="272" t="s">
        <v>405</v>
      </c>
      <c r="B22" s="29">
        <v>247878</v>
      </c>
      <c r="C22" s="26">
        <f aca="true" t="shared" si="8" ref="C22:C28">AA22</f>
        <v>6347232.78</v>
      </c>
      <c r="D22" s="26">
        <f aca="true" t="shared" si="9" ref="D22:D28">BM22</f>
        <v>2740012</v>
      </c>
      <c r="E22" s="26">
        <f aca="true" t="shared" si="10" ref="E22:E28">SUM(B22:D22)</f>
        <v>9335122.780000001</v>
      </c>
      <c r="F22" s="26">
        <v>12523000</v>
      </c>
      <c r="G22" s="26">
        <v>0</v>
      </c>
      <c r="H22" s="26">
        <f aca="true" t="shared" si="11" ref="H22:H28">E22+F22-G22</f>
        <v>21858122.78</v>
      </c>
      <c r="I22" s="27"/>
      <c r="J22" s="27"/>
      <c r="K22" s="25" t="s">
        <v>405</v>
      </c>
      <c r="L22" s="26">
        <v>41562</v>
      </c>
      <c r="M22" s="26">
        <v>113849</v>
      </c>
      <c r="N22" s="26">
        <v>397019</v>
      </c>
      <c r="O22" s="26">
        <v>245468</v>
      </c>
      <c r="P22" s="149">
        <v>1080</v>
      </c>
      <c r="Q22" s="26">
        <v>6992</v>
      </c>
      <c r="R22" s="26">
        <v>213757</v>
      </c>
      <c r="S22" s="26">
        <v>1000000</v>
      </c>
      <c r="T22" s="26">
        <v>0</v>
      </c>
      <c r="U22" s="26">
        <v>249583.58</v>
      </c>
      <c r="V22" s="26">
        <v>3377158</v>
      </c>
      <c r="W22" s="149">
        <v>1</v>
      </c>
      <c r="X22" s="26">
        <v>0</v>
      </c>
      <c r="Y22" s="26">
        <f aca="true" t="shared" si="12" ref="Y22:Y28">AQ22</f>
        <v>6874.2</v>
      </c>
      <c r="Z22" s="26">
        <f aca="true" t="shared" si="13" ref="Z22:Z28">BD22</f>
        <v>693889</v>
      </c>
      <c r="AA22" s="26">
        <f aca="true" t="shared" si="14" ref="AA22:AA28">SUM(L22:Z22)</f>
        <v>6347232.78</v>
      </c>
      <c r="AB22" s="27"/>
      <c r="AC22" s="28"/>
      <c r="AD22" s="25" t="s">
        <v>405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6874.2</v>
      </c>
      <c r="AN22" s="26">
        <v>0</v>
      </c>
      <c r="AO22" s="26">
        <v>0</v>
      </c>
      <c r="AP22" s="26">
        <v>0</v>
      </c>
      <c r="AQ22" s="26">
        <f aca="true" t="shared" si="15" ref="AQ22:AQ28">SUM(AE22:AP22)</f>
        <v>6874.2</v>
      </c>
      <c r="AR22" s="27"/>
      <c r="AS22" s="28"/>
      <c r="AT22" s="25" t="s">
        <v>405</v>
      </c>
      <c r="AU22" s="26">
        <v>689888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4001</v>
      </c>
      <c r="BD22" s="26">
        <f aca="true" t="shared" si="16" ref="BD22:BD28">SUM(AU22:BC22)</f>
        <v>693889</v>
      </c>
      <c r="BE22" s="27"/>
      <c r="BF22" s="193"/>
      <c r="BG22" s="25" t="s">
        <v>405</v>
      </c>
      <c r="BH22" s="149">
        <v>1</v>
      </c>
      <c r="BI22" s="26">
        <v>2740011</v>
      </c>
      <c r="BJ22" s="141">
        <v>0</v>
      </c>
      <c r="BK22" s="26"/>
      <c r="BL22" s="26">
        <v>0</v>
      </c>
      <c r="BM22" s="26">
        <f aca="true" t="shared" si="17" ref="BM22:BM28">SUM(BH22:BL22)</f>
        <v>2740012</v>
      </c>
      <c r="BN22" s="27"/>
      <c r="BO22" s="27"/>
    </row>
    <row r="23" spans="1:67" ht="16.5" customHeight="1">
      <c r="A23" s="272" t="s">
        <v>18</v>
      </c>
      <c r="B23" s="29"/>
      <c r="C23" s="26">
        <f t="shared" si="8"/>
        <v>10214409</v>
      </c>
      <c r="D23" s="26">
        <f t="shared" si="9"/>
        <v>0</v>
      </c>
      <c r="E23" s="26">
        <f t="shared" si="10"/>
        <v>10214409</v>
      </c>
      <c r="F23" s="26"/>
      <c r="G23" s="26"/>
      <c r="H23" s="26">
        <f t="shared" si="11"/>
        <v>10214409</v>
      </c>
      <c r="I23" s="27"/>
      <c r="J23" s="27"/>
      <c r="K23" s="25" t="s">
        <v>18</v>
      </c>
      <c r="L23" s="26"/>
      <c r="M23" s="26"/>
      <c r="N23" s="26">
        <v>10214409</v>
      </c>
      <c r="O23" s="26">
        <v>0</v>
      </c>
      <c r="P23" s="149"/>
      <c r="Q23" s="26">
        <v>0</v>
      </c>
      <c r="R23" s="26"/>
      <c r="S23" s="26"/>
      <c r="T23" s="26"/>
      <c r="U23" s="26"/>
      <c r="V23" s="26"/>
      <c r="W23" s="149"/>
      <c r="X23" s="26">
        <v>0</v>
      </c>
      <c r="Y23" s="26">
        <f t="shared" si="12"/>
        <v>0</v>
      </c>
      <c r="Z23" s="26">
        <f t="shared" si="13"/>
        <v>0</v>
      </c>
      <c r="AA23" s="26">
        <f t="shared" si="14"/>
        <v>10214409</v>
      </c>
      <c r="AB23" s="27"/>
      <c r="AC23" s="28"/>
      <c r="AD23" s="25" t="s">
        <v>18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f t="shared" si="15"/>
        <v>0</v>
      </c>
      <c r="AR23" s="27"/>
      <c r="AS23" s="28"/>
      <c r="AT23" s="25" t="s">
        <v>18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f t="shared" si="16"/>
        <v>0</v>
      </c>
      <c r="BE23" s="27"/>
      <c r="BF23" s="193"/>
      <c r="BG23" s="25" t="s">
        <v>18</v>
      </c>
      <c r="BH23" s="149"/>
      <c r="BI23" s="26">
        <v>0</v>
      </c>
      <c r="BJ23" s="141"/>
      <c r="BK23" s="26"/>
      <c r="BL23" s="26">
        <v>0</v>
      </c>
      <c r="BM23" s="26">
        <f t="shared" si="17"/>
        <v>0</v>
      </c>
      <c r="BN23" s="27"/>
      <c r="BO23" s="27"/>
    </row>
    <row r="24" spans="1:67" ht="16.5" customHeight="1">
      <c r="A24" s="272" t="s">
        <v>406</v>
      </c>
      <c r="B24" s="29">
        <v>46339761</v>
      </c>
      <c r="C24" s="26">
        <f t="shared" si="8"/>
        <v>2312001</v>
      </c>
      <c r="D24" s="26">
        <f t="shared" si="9"/>
        <v>0</v>
      </c>
      <c r="E24" s="26">
        <f t="shared" si="10"/>
        <v>48651762</v>
      </c>
      <c r="F24" s="26">
        <v>118142467</v>
      </c>
      <c r="G24" s="26">
        <v>166794229</v>
      </c>
      <c r="H24" s="26">
        <f t="shared" si="11"/>
        <v>0</v>
      </c>
      <c r="I24" s="27"/>
      <c r="J24" s="27"/>
      <c r="K24" s="25" t="s">
        <v>406</v>
      </c>
      <c r="L24" s="26">
        <v>0</v>
      </c>
      <c r="M24" s="26">
        <v>0</v>
      </c>
      <c r="N24" s="26">
        <v>0</v>
      </c>
      <c r="O24" s="26">
        <v>0</v>
      </c>
      <c r="P24" s="149">
        <v>0</v>
      </c>
      <c r="Q24" s="26">
        <v>0</v>
      </c>
      <c r="R24" s="26">
        <v>1</v>
      </c>
      <c r="S24" s="26">
        <v>0</v>
      </c>
      <c r="T24" s="26">
        <v>0</v>
      </c>
      <c r="U24" s="26">
        <v>0</v>
      </c>
      <c r="V24" s="26">
        <f>37233+391769</f>
        <v>429002</v>
      </c>
      <c r="W24" s="149">
        <v>0</v>
      </c>
      <c r="X24" s="26">
        <v>0</v>
      </c>
      <c r="Y24" s="26">
        <f t="shared" si="12"/>
        <v>1882997</v>
      </c>
      <c r="Z24" s="26">
        <f t="shared" si="13"/>
        <v>1</v>
      </c>
      <c r="AA24" s="26">
        <f t="shared" si="14"/>
        <v>2312001</v>
      </c>
      <c r="AB24" s="27"/>
      <c r="AC24" s="28"/>
      <c r="AD24" s="25" t="s">
        <v>406</v>
      </c>
      <c r="AE24" s="26">
        <v>0</v>
      </c>
      <c r="AF24" s="26">
        <v>0</v>
      </c>
      <c r="AG24" s="26">
        <v>100009</v>
      </c>
      <c r="AH24" s="26">
        <f>8425705-6642718</f>
        <v>1782987</v>
      </c>
      <c r="AI24" s="26">
        <v>0</v>
      </c>
      <c r="AJ24" s="26">
        <v>0</v>
      </c>
      <c r="AK24" s="26">
        <v>0</v>
      </c>
      <c r="AL24" s="26">
        <v>0</v>
      </c>
      <c r="AM24" s="26">
        <v>0</v>
      </c>
      <c r="AN24" s="26">
        <v>0</v>
      </c>
      <c r="AO24" s="26">
        <v>0</v>
      </c>
      <c r="AP24" s="26">
        <v>1</v>
      </c>
      <c r="AQ24" s="26">
        <f t="shared" si="15"/>
        <v>1882997</v>
      </c>
      <c r="AR24" s="27"/>
      <c r="AS24" s="28"/>
      <c r="AT24" s="25" t="s">
        <v>406</v>
      </c>
      <c r="AU24" s="26">
        <v>0</v>
      </c>
      <c r="AV24" s="26">
        <v>0</v>
      </c>
      <c r="AW24" s="26">
        <v>1</v>
      </c>
      <c r="AX24" s="26">
        <v>0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f t="shared" si="16"/>
        <v>1</v>
      </c>
      <c r="BE24" s="27"/>
      <c r="BF24" s="193"/>
      <c r="BG24" s="25" t="s">
        <v>406</v>
      </c>
      <c r="BH24" s="149">
        <v>0</v>
      </c>
      <c r="BI24" s="26">
        <v>0</v>
      </c>
      <c r="BJ24" s="141">
        <v>0</v>
      </c>
      <c r="BK24" s="26"/>
      <c r="BL24" s="26">
        <v>0</v>
      </c>
      <c r="BM24" s="26">
        <f t="shared" si="17"/>
        <v>0</v>
      </c>
      <c r="BN24" s="27"/>
      <c r="BO24" s="27"/>
    </row>
    <row r="25" spans="1:67" ht="16.5" customHeight="1">
      <c r="A25" s="272" t="s">
        <v>407</v>
      </c>
      <c r="B25" s="29">
        <v>15492222</v>
      </c>
      <c r="C25" s="26">
        <f t="shared" si="8"/>
        <v>860000</v>
      </c>
      <c r="D25" s="26">
        <f t="shared" si="9"/>
        <v>109134</v>
      </c>
      <c r="E25" s="26">
        <f t="shared" si="10"/>
        <v>16461356</v>
      </c>
      <c r="F25" s="26">
        <v>46206201.678</v>
      </c>
      <c r="G25" s="26">
        <v>43513802</v>
      </c>
      <c r="H25" s="26">
        <f t="shared" si="11"/>
        <v>19153755.678000003</v>
      </c>
      <c r="I25" s="27"/>
      <c r="J25" s="27"/>
      <c r="K25" s="25" t="s">
        <v>407</v>
      </c>
      <c r="L25" s="26">
        <v>0</v>
      </c>
      <c r="M25" s="26">
        <v>0</v>
      </c>
      <c r="N25" s="26">
        <v>0</v>
      </c>
      <c r="O25" s="26">
        <v>0</v>
      </c>
      <c r="P25" s="149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860000</v>
      </c>
      <c r="W25" s="149">
        <v>0</v>
      </c>
      <c r="X25" s="26">
        <v>0</v>
      </c>
      <c r="Y25" s="26">
        <f t="shared" si="12"/>
        <v>0</v>
      </c>
      <c r="Z25" s="26">
        <f t="shared" si="13"/>
        <v>0</v>
      </c>
      <c r="AA25" s="26">
        <f t="shared" si="14"/>
        <v>860000</v>
      </c>
      <c r="AB25" s="27"/>
      <c r="AC25" s="28"/>
      <c r="AD25" s="25" t="s">
        <v>407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  <c r="AL25" s="26">
        <v>0</v>
      </c>
      <c r="AM25" s="26">
        <v>0</v>
      </c>
      <c r="AN25" s="26">
        <v>0</v>
      </c>
      <c r="AO25" s="26">
        <v>0</v>
      </c>
      <c r="AP25" s="26">
        <v>0</v>
      </c>
      <c r="AQ25" s="26">
        <f t="shared" si="15"/>
        <v>0</v>
      </c>
      <c r="AR25" s="27"/>
      <c r="AS25" s="28"/>
      <c r="AT25" s="25" t="s">
        <v>407</v>
      </c>
      <c r="AU25" s="26">
        <v>0</v>
      </c>
      <c r="AV25" s="26">
        <v>0</v>
      </c>
      <c r="AW25" s="26">
        <v>0</v>
      </c>
      <c r="AX25" s="26">
        <v>0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f t="shared" si="16"/>
        <v>0</v>
      </c>
      <c r="BE25" s="27"/>
      <c r="BF25" s="193"/>
      <c r="BG25" s="25" t="s">
        <v>407</v>
      </c>
      <c r="BH25" s="149">
        <v>0</v>
      </c>
      <c r="BI25" s="26">
        <v>109134</v>
      </c>
      <c r="BJ25" s="141">
        <v>0</v>
      </c>
      <c r="BK25" s="26"/>
      <c r="BL25" s="26">
        <v>0</v>
      </c>
      <c r="BM25" s="26">
        <f t="shared" si="17"/>
        <v>109134</v>
      </c>
      <c r="BN25" s="27"/>
      <c r="BO25" s="27"/>
    </row>
    <row r="26" spans="1:67" ht="16.5" customHeight="1">
      <c r="A26" s="272" t="s">
        <v>355</v>
      </c>
      <c r="B26" s="29">
        <v>18017581</v>
      </c>
      <c r="C26" s="26">
        <f t="shared" si="8"/>
        <v>181716604</v>
      </c>
      <c r="D26" s="26">
        <f t="shared" si="9"/>
        <v>8561</v>
      </c>
      <c r="E26" s="26">
        <f t="shared" si="10"/>
        <v>199742746</v>
      </c>
      <c r="F26" s="26">
        <v>0</v>
      </c>
      <c r="G26" s="26">
        <v>1137728</v>
      </c>
      <c r="H26" s="26">
        <f t="shared" si="11"/>
        <v>198605018</v>
      </c>
      <c r="I26" s="27"/>
      <c r="J26" s="27"/>
      <c r="K26" s="25" t="s">
        <v>408</v>
      </c>
      <c r="L26" s="26">
        <v>42000000</v>
      </c>
      <c r="M26" s="26">
        <v>107100000</v>
      </c>
      <c r="N26" s="26">
        <v>0</v>
      </c>
      <c r="O26" s="26">
        <v>0</v>
      </c>
      <c r="P26" s="161">
        <v>0</v>
      </c>
      <c r="Q26" s="26">
        <v>0</v>
      </c>
      <c r="R26" s="26">
        <f>9949947</f>
        <v>9949947</v>
      </c>
      <c r="S26" s="26">
        <v>0</v>
      </c>
      <c r="T26" s="26">
        <v>0</v>
      </c>
      <c r="U26" s="26">
        <v>0</v>
      </c>
      <c r="V26" s="26">
        <f>21528929+1137728</f>
        <v>22666657</v>
      </c>
      <c r="W26" s="149">
        <v>0</v>
      </c>
      <c r="X26" s="26">
        <v>0</v>
      </c>
      <c r="Y26" s="26">
        <f t="shared" si="12"/>
        <v>0</v>
      </c>
      <c r="Z26" s="26">
        <f t="shared" si="13"/>
        <v>0</v>
      </c>
      <c r="AA26" s="26">
        <f t="shared" si="14"/>
        <v>181716604</v>
      </c>
      <c r="AB26" s="27"/>
      <c r="AC26" s="28"/>
      <c r="AD26" s="25" t="s">
        <v>408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0</v>
      </c>
      <c r="AN26" s="26">
        <v>0</v>
      </c>
      <c r="AO26" s="26">
        <v>0</v>
      </c>
      <c r="AP26" s="26">
        <v>0</v>
      </c>
      <c r="AQ26" s="26">
        <f t="shared" si="15"/>
        <v>0</v>
      </c>
      <c r="AR26" s="27"/>
      <c r="AS26" s="28"/>
      <c r="AT26" s="25" t="s">
        <v>408</v>
      </c>
      <c r="AU26" s="26">
        <v>0</v>
      </c>
      <c r="AV26" s="26">
        <v>0</v>
      </c>
      <c r="AW26" s="26">
        <v>0</v>
      </c>
      <c r="AX26" s="26">
        <v>0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26">
        <f t="shared" si="16"/>
        <v>0</v>
      </c>
      <c r="BE26" s="27"/>
      <c r="BF26" s="193"/>
      <c r="BG26" s="25" t="s">
        <v>408</v>
      </c>
      <c r="BH26" s="149">
        <v>3561</v>
      </c>
      <c r="BI26" s="26">
        <v>5000</v>
      </c>
      <c r="BJ26" s="141">
        <v>0</v>
      </c>
      <c r="BK26" s="26"/>
      <c r="BL26" s="26">
        <v>0</v>
      </c>
      <c r="BM26" s="26">
        <f t="shared" si="17"/>
        <v>8561</v>
      </c>
      <c r="BN26" s="27"/>
      <c r="BO26" s="27"/>
    </row>
    <row r="27" spans="1:67" ht="16.5" customHeight="1">
      <c r="A27" s="219" t="s">
        <v>452</v>
      </c>
      <c r="B27" s="29">
        <v>0</v>
      </c>
      <c r="C27" s="26">
        <f t="shared" si="8"/>
        <v>2086000</v>
      </c>
      <c r="D27" s="26">
        <f>BM27</f>
        <v>46000000</v>
      </c>
      <c r="E27" s="26">
        <f>SUM(B27:D27)</f>
        <v>48086000</v>
      </c>
      <c r="F27" s="26"/>
      <c r="G27" s="26"/>
      <c r="H27" s="26">
        <f t="shared" si="11"/>
        <v>48086000</v>
      </c>
      <c r="I27" s="27"/>
      <c r="J27" s="27"/>
      <c r="K27" s="25"/>
      <c r="L27" s="26">
        <v>0</v>
      </c>
      <c r="M27" s="26">
        <v>0</v>
      </c>
      <c r="N27" s="26"/>
      <c r="O27" s="26"/>
      <c r="P27" s="149">
        <v>0</v>
      </c>
      <c r="Q27" s="26"/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149">
        <v>0</v>
      </c>
      <c r="X27" s="26"/>
      <c r="Y27" s="26">
        <f>AQ27</f>
        <v>2086000</v>
      </c>
      <c r="Z27" s="26">
        <f>BD27</f>
        <v>0</v>
      </c>
      <c r="AA27" s="26">
        <f t="shared" si="14"/>
        <v>2086000</v>
      </c>
      <c r="AB27" s="27"/>
      <c r="AC27" s="28"/>
      <c r="AD27" s="25"/>
      <c r="AE27" s="26"/>
      <c r="AF27" s="26"/>
      <c r="AG27" s="26"/>
      <c r="AH27" s="26"/>
      <c r="AI27" s="26"/>
      <c r="AJ27" s="26"/>
      <c r="AK27" s="26"/>
      <c r="AL27" s="26"/>
      <c r="AM27" s="26"/>
      <c r="AN27" s="26">
        <v>2086000</v>
      </c>
      <c r="AO27" s="26"/>
      <c r="AP27" s="26"/>
      <c r="AQ27" s="26">
        <f t="shared" si="15"/>
        <v>2086000</v>
      </c>
      <c r="AR27" s="27"/>
      <c r="AS27" s="28"/>
      <c r="AT27" s="25"/>
      <c r="AU27" s="26"/>
      <c r="AV27" s="26">
        <v>0</v>
      </c>
      <c r="AW27" s="26"/>
      <c r="AX27" s="26"/>
      <c r="AY27" s="26"/>
      <c r="AZ27" s="26"/>
      <c r="BA27" s="26"/>
      <c r="BB27" s="26"/>
      <c r="BC27" s="26"/>
      <c r="BD27" s="26"/>
      <c r="BE27" s="27"/>
      <c r="BF27" s="193"/>
      <c r="BG27" s="25"/>
      <c r="BH27" s="149">
        <v>0</v>
      </c>
      <c r="BI27" s="26">
        <v>0</v>
      </c>
      <c r="BJ27" s="147">
        <v>46000000</v>
      </c>
      <c r="BK27" s="26"/>
      <c r="BL27" s="26"/>
      <c r="BM27" s="26">
        <f t="shared" si="17"/>
        <v>46000000</v>
      </c>
      <c r="BN27" s="27"/>
      <c r="BO27" s="27"/>
    </row>
    <row r="28" spans="1:67" ht="16.5" customHeight="1">
      <c r="A28" s="272" t="s">
        <v>410</v>
      </c>
      <c r="B28" s="29">
        <v>0</v>
      </c>
      <c r="C28" s="26">
        <f t="shared" si="8"/>
        <v>0</v>
      </c>
      <c r="D28" s="26">
        <f t="shared" si="9"/>
        <v>0</v>
      </c>
      <c r="E28" s="26">
        <f t="shared" si="10"/>
        <v>0</v>
      </c>
      <c r="F28" s="26">
        <v>48021077</v>
      </c>
      <c r="G28" s="26">
        <v>48021077</v>
      </c>
      <c r="H28" s="26">
        <f t="shared" si="11"/>
        <v>0</v>
      </c>
      <c r="I28" s="27"/>
      <c r="J28" s="27"/>
      <c r="K28" s="25" t="s">
        <v>410</v>
      </c>
      <c r="L28" s="26">
        <v>0</v>
      </c>
      <c r="M28" s="26">
        <v>0</v>
      </c>
      <c r="N28" s="26">
        <v>0</v>
      </c>
      <c r="O28" s="26">
        <v>0</v>
      </c>
      <c r="P28" s="149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149">
        <v>0</v>
      </c>
      <c r="X28" s="26">
        <v>0</v>
      </c>
      <c r="Y28" s="26">
        <f t="shared" si="12"/>
        <v>0</v>
      </c>
      <c r="Z28" s="26">
        <f t="shared" si="13"/>
        <v>0</v>
      </c>
      <c r="AA28" s="26">
        <f t="shared" si="14"/>
        <v>0</v>
      </c>
      <c r="AB28" s="27"/>
      <c r="AC28" s="28"/>
      <c r="AD28" s="25" t="s">
        <v>410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0</v>
      </c>
      <c r="AN28" s="26">
        <v>0</v>
      </c>
      <c r="AO28" s="26">
        <v>0</v>
      </c>
      <c r="AP28" s="26">
        <v>0</v>
      </c>
      <c r="AQ28" s="26">
        <f t="shared" si="15"/>
        <v>0</v>
      </c>
      <c r="AR28" s="27"/>
      <c r="AS28" s="28"/>
      <c r="AT28" s="25" t="s">
        <v>410</v>
      </c>
      <c r="AU28" s="26">
        <v>0</v>
      </c>
      <c r="AV28" s="26">
        <v>0</v>
      </c>
      <c r="AW28" s="26">
        <v>0</v>
      </c>
      <c r="AX28" s="26">
        <v>0</v>
      </c>
      <c r="AY28" s="26">
        <v>0</v>
      </c>
      <c r="AZ28" s="26">
        <v>0</v>
      </c>
      <c r="BA28" s="26">
        <v>0</v>
      </c>
      <c r="BB28" s="26">
        <v>0</v>
      </c>
      <c r="BC28" s="26">
        <v>0</v>
      </c>
      <c r="BD28" s="26">
        <f t="shared" si="16"/>
        <v>0</v>
      </c>
      <c r="BE28" s="27"/>
      <c r="BF28" s="193"/>
      <c r="BG28" s="25" t="s">
        <v>410</v>
      </c>
      <c r="BH28" s="149">
        <v>0</v>
      </c>
      <c r="BI28" s="26">
        <v>0</v>
      </c>
      <c r="BJ28" s="141">
        <v>0</v>
      </c>
      <c r="BK28" s="26"/>
      <c r="BL28" s="26">
        <v>0</v>
      </c>
      <c r="BM28" s="26">
        <f t="shared" si="17"/>
        <v>0</v>
      </c>
      <c r="BN28" s="27"/>
      <c r="BO28" s="27"/>
    </row>
    <row r="29" spans="1:67" ht="16.5" customHeight="1">
      <c r="A29" s="273"/>
      <c r="B29" s="35"/>
      <c r="C29" s="26"/>
      <c r="D29" s="26"/>
      <c r="E29" s="26"/>
      <c r="F29" s="30"/>
      <c r="G29" s="30"/>
      <c r="H29" s="26"/>
      <c r="I29" s="27"/>
      <c r="J29" s="27"/>
      <c r="K29" s="35"/>
      <c r="L29" s="30"/>
      <c r="M29" s="26"/>
      <c r="N29" s="26"/>
      <c r="O29" s="26"/>
      <c r="P29" s="156"/>
      <c r="Q29" s="26"/>
      <c r="R29" s="30"/>
      <c r="S29" s="26"/>
      <c r="T29" s="26"/>
      <c r="U29" s="26"/>
      <c r="V29" s="26"/>
      <c r="W29" s="156"/>
      <c r="X29" s="26"/>
      <c r="Y29" s="26"/>
      <c r="Z29" s="26"/>
      <c r="AA29" s="26"/>
      <c r="AB29" s="27"/>
      <c r="AC29" s="28"/>
      <c r="AD29" s="35"/>
      <c r="AE29" s="30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7"/>
      <c r="AS29" s="28"/>
      <c r="AT29" s="35"/>
      <c r="AU29" s="30"/>
      <c r="AV29" s="26"/>
      <c r="AW29" s="26"/>
      <c r="AX29" s="26"/>
      <c r="AY29" s="26"/>
      <c r="AZ29" s="26"/>
      <c r="BA29" s="26"/>
      <c r="BB29" s="26"/>
      <c r="BC29" s="26"/>
      <c r="BD29" s="26"/>
      <c r="BE29" s="27"/>
      <c r="BF29" s="193"/>
      <c r="BG29" s="35"/>
      <c r="BH29" s="156"/>
      <c r="BI29" s="26"/>
      <c r="BJ29" s="146"/>
      <c r="BK29" s="26"/>
      <c r="BL29" s="26"/>
      <c r="BM29" s="26"/>
      <c r="BN29" s="27"/>
      <c r="BO29" s="27"/>
    </row>
    <row r="30" spans="1:67" ht="16.5" customHeight="1">
      <c r="A30" s="272" t="s">
        <v>411</v>
      </c>
      <c r="B30" s="35"/>
      <c r="C30" s="26"/>
      <c r="D30" s="26"/>
      <c r="E30" s="26"/>
      <c r="F30" s="26"/>
      <c r="G30" s="30"/>
      <c r="H30" s="26"/>
      <c r="I30" s="27"/>
      <c r="J30" s="27"/>
      <c r="K30" s="25" t="s">
        <v>411</v>
      </c>
      <c r="L30" s="30"/>
      <c r="M30" s="26"/>
      <c r="N30" s="26"/>
      <c r="O30" s="26"/>
      <c r="P30" s="156"/>
      <c r="Q30" s="26"/>
      <c r="R30" s="30"/>
      <c r="S30" s="26"/>
      <c r="T30" s="26"/>
      <c r="U30" s="26"/>
      <c r="V30" s="26"/>
      <c r="W30" s="156"/>
      <c r="X30" s="26"/>
      <c r="Y30" s="26"/>
      <c r="Z30" s="26"/>
      <c r="AA30" s="26"/>
      <c r="AB30" s="27"/>
      <c r="AC30" s="28"/>
      <c r="AD30" s="25" t="s">
        <v>411</v>
      </c>
      <c r="AE30" s="30"/>
      <c r="AF30" s="26"/>
      <c r="AG30" s="26"/>
      <c r="AH30" s="30"/>
      <c r="AI30" s="26"/>
      <c r="AJ30" s="26"/>
      <c r="AK30" s="26"/>
      <c r="AL30" s="26"/>
      <c r="AM30" s="30"/>
      <c r="AN30" s="26"/>
      <c r="AO30" s="26"/>
      <c r="AP30" s="26"/>
      <c r="AQ30" s="26"/>
      <c r="AR30" s="27"/>
      <c r="AS30" s="28"/>
      <c r="AT30" s="25" t="s">
        <v>411</v>
      </c>
      <c r="AU30" s="30"/>
      <c r="AV30" s="26"/>
      <c r="AW30" s="26"/>
      <c r="AX30" s="30"/>
      <c r="AY30" s="26"/>
      <c r="AZ30" s="26"/>
      <c r="BA30" s="26"/>
      <c r="BB30" s="26"/>
      <c r="BC30" s="26"/>
      <c r="BD30" s="26"/>
      <c r="BE30" s="27"/>
      <c r="BF30" s="193"/>
      <c r="BG30" s="25" t="s">
        <v>411</v>
      </c>
      <c r="BH30" s="156"/>
      <c r="BI30" s="26"/>
      <c r="BJ30" s="146"/>
      <c r="BK30" s="26"/>
      <c r="BL30" s="26"/>
      <c r="BM30" s="26"/>
      <c r="BN30" s="27"/>
      <c r="BO30" s="27"/>
    </row>
    <row r="31" spans="1:67" ht="16.5" customHeight="1">
      <c r="A31" s="230" t="s">
        <v>28</v>
      </c>
      <c r="B31" s="35">
        <v>0</v>
      </c>
      <c r="C31" s="26">
        <f>AA31</f>
        <v>186626142.88</v>
      </c>
      <c r="D31" s="26">
        <f>BM31</f>
        <v>0</v>
      </c>
      <c r="E31" s="26">
        <f aca="true" t="shared" si="18" ref="E31:E40">SUM(B31:D31)</f>
        <v>186626142.88</v>
      </c>
      <c r="F31" s="26">
        <v>54192118</v>
      </c>
      <c r="G31" s="26">
        <v>22671930</v>
      </c>
      <c r="H31" s="26">
        <f aca="true" t="shared" si="19" ref="H31:H40">E31+F31-G31</f>
        <v>218146330.88</v>
      </c>
      <c r="I31" s="27"/>
      <c r="J31" s="27"/>
      <c r="K31" s="29" t="s">
        <v>28</v>
      </c>
      <c r="L31" s="30">
        <v>0</v>
      </c>
      <c r="M31" s="26">
        <v>0</v>
      </c>
      <c r="N31" s="26">
        <v>0</v>
      </c>
      <c r="O31" s="26">
        <v>0</v>
      </c>
      <c r="P31" s="149">
        <v>1651545</v>
      </c>
      <c r="Q31" s="26">
        <v>237123</v>
      </c>
      <c r="R31" s="30">
        <v>144819468</v>
      </c>
      <c r="S31" s="26">
        <v>0</v>
      </c>
      <c r="T31" s="26">
        <v>2800000</v>
      </c>
      <c r="U31" s="26">
        <v>0</v>
      </c>
      <c r="V31" s="26">
        <f>1390612-1390612</f>
        <v>0</v>
      </c>
      <c r="W31" s="149">
        <v>32000000</v>
      </c>
      <c r="X31" s="26">
        <v>0</v>
      </c>
      <c r="Y31" s="26">
        <f aca="true" t="shared" si="20" ref="Y31:Y40">AQ31</f>
        <v>425000</v>
      </c>
      <c r="Z31" s="26">
        <f aca="true" t="shared" si="21" ref="Z31:Z40">BD31</f>
        <v>4693006.88</v>
      </c>
      <c r="AA31" s="26">
        <f aca="true" t="shared" si="22" ref="AA31:AA40">SUM(L31:Z31)</f>
        <v>186626142.88</v>
      </c>
      <c r="AB31" s="27"/>
      <c r="AC31" s="28"/>
      <c r="AD31" s="29" t="s">
        <v>28</v>
      </c>
      <c r="AE31" s="30">
        <v>0</v>
      </c>
      <c r="AF31" s="26">
        <v>0</v>
      </c>
      <c r="AG31" s="26">
        <v>0</v>
      </c>
      <c r="AH31" s="30">
        <v>0</v>
      </c>
      <c r="AI31" s="26">
        <v>0</v>
      </c>
      <c r="AJ31" s="26">
        <v>0</v>
      </c>
      <c r="AK31" s="26">
        <v>0</v>
      </c>
      <c r="AL31" s="26">
        <v>0</v>
      </c>
      <c r="AM31" s="30">
        <v>0</v>
      </c>
      <c r="AN31" s="26">
        <v>0</v>
      </c>
      <c r="AO31" s="26">
        <v>425000</v>
      </c>
      <c r="AP31" s="26">
        <v>0</v>
      </c>
      <c r="AQ31" s="26">
        <f>SUM(AE31:AP31)</f>
        <v>425000</v>
      </c>
      <c r="AR31" s="27"/>
      <c r="AS31" s="28"/>
      <c r="AT31" s="29" t="s">
        <v>28</v>
      </c>
      <c r="AU31" s="30">
        <v>4693006.88</v>
      </c>
      <c r="AV31" s="26">
        <v>0</v>
      </c>
      <c r="AW31" s="26">
        <v>0</v>
      </c>
      <c r="AX31" s="30">
        <v>0</v>
      </c>
      <c r="AY31" s="26">
        <v>0</v>
      </c>
      <c r="AZ31" s="26">
        <v>0</v>
      </c>
      <c r="BA31" s="26">
        <v>0</v>
      </c>
      <c r="BB31" s="26">
        <v>0</v>
      </c>
      <c r="BC31" s="26">
        <v>0</v>
      </c>
      <c r="BD31" s="26">
        <f>SUM(AU31:BC31)</f>
        <v>4693006.88</v>
      </c>
      <c r="BE31" s="27"/>
      <c r="BF31" s="193"/>
      <c r="BG31" s="29" t="s">
        <v>28</v>
      </c>
      <c r="BH31" s="149">
        <v>0</v>
      </c>
      <c r="BI31" s="26">
        <v>0</v>
      </c>
      <c r="BJ31" s="26">
        <v>0</v>
      </c>
      <c r="BK31" s="26"/>
      <c r="BL31" s="26">
        <v>0</v>
      </c>
      <c r="BM31" s="26">
        <f aca="true" t="shared" si="23" ref="BM31:BM40">SUM(BH31:BL31)</f>
        <v>0</v>
      </c>
      <c r="BN31" s="27"/>
      <c r="BO31" s="27"/>
    </row>
    <row r="32" spans="1:69" ht="16.5" customHeight="1">
      <c r="A32" s="230" t="s">
        <v>29</v>
      </c>
      <c r="B32" s="29">
        <v>0</v>
      </c>
      <c r="C32" s="26">
        <f aca="true" t="shared" si="24" ref="C32:C40">AA32</f>
        <v>1428488</v>
      </c>
      <c r="D32" s="26">
        <f aca="true" t="shared" si="25" ref="D32:D40">BM32</f>
        <v>0</v>
      </c>
      <c r="E32" s="26">
        <f t="shared" si="18"/>
        <v>1428488</v>
      </c>
      <c r="F32" s="26">
        <v>0</v>
      </c>
      <c r="G32" s="26">
        <v>0</v>
      </c>
      <c r="H32" s="26">
        <f t="shared" si="19"/>
        <v>1428488</v>
      </c>
      <c r="I32" s="27"/>
      <c r="J32" s="27"/>
      <c r="K32" s="29" t="s">
        <v>29</v>
      </c>
      <c r="L32" s="26">
        <v>0</v>
      </c>
      <c r="M32" s="26">
        <v>0</v>
      </c>
      <c r="N32" s="26">
        <v>0</v>
      </c>
      <c r="O32" s="26">
        <v>0</v>
      </c>
      <c r="P32" s="149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1428488</v>
      </c>
      <c r="W32" s="149">
        <v>0</v>
      </c>
      <c r="X32" s="26">
        <v>0</v>
      </c>
      <c r="Y32" s="26">
        <f t="shared" si="20"/>
        <v>0</v>
      </c>
      <c r="Z32" s="26">
        <f t="shared" si="21"/>
        <v>0</v>
      </c>
      <c r="AA32" s="26">
        <f t="shared" si="22"/>
        <v>1428488</v>
      </c>
      <c r="AB32" s="27"/>
      <c r="AC32" s="28"/>
      <c r="AD32" s="29" t="s">
        <v>29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f>SUM(AE32:AP32)</f>
        <v>0</v>
      </c>
      <c r="AR32" s="27"/>
      <c r="AS32" s="28"/>
      <c r="AT32" s="29" t="s">
        <v>29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f>SUM(AU32:BC32)</f>
        <v>0</v>
      </c>
      <c r="BE32" s="27"/>
      <c r="BF32" s="193"/>
      <c r="BG32" s="29" t="s">
        <v>29</v>
      </c>
      <c r="BH32" s="149">
        <v>0</v>
      </c>
      <c r="BI32" s="26">
        <v>0</v>
      </c>
      <c r="BJ32" s="141">
        <v>0</v>
      </c>
      <c r="BK32" s="26"/>
      <c r="BL32" s="26">
        <v>0</v>
      </c>
      <c r="BM32" s="26">
        <f t="shared" si="23"/>
        <v>0</v>
      </c>
      <c r="BN32" s="27"/>
      <c r="BO32" s="27"/>
      <c r="BQ32" s="37"/>
    </row>
    <row r="33" spans="1:69" ht="16.5" customHeight="1">
      <c r="A33" s="230" t="s">
        <v>30</v>
      </c>
      <c r="B33" s="29">
        <v>0</v>
      </c>
      <c r="C33" s="26">
        <f t="shared" si="24"/>
        <v>25177666.14</v>
      </c>
      <c r="D33" s="26">
        <f t="shared" si="25"/>
        <v>718717.08</v>
      </c>
      <c r="E33" s="26">
        <f t="shared" si="18"/>
        <v>25896383.22</v>
      </c>
      <c r="F33" s="26">
        <v>0</v>
      </c>
      <c r="G33" s="26">
        <v>0</v>
      </c>
      <c r="H33" s="26">
        <f t="shared" si="19"/>
        <v>25896383.22</v>
      </c>
      <c r="I33" s="27"/>
      <c r="J33" s="27"/>
      <c r="K33" s="29" t="s">
        <v>30</v>
      </c>
      <c r="L33" s="26">
        <v>240</v>
      </c>
      <c r="M33" s="26">
        <v>190783</v>
      </c>
      <c r="N33" s="26">
        <v>0</v>
      </c>
      <c r="O33" s="26">
        <v>0</v>
      </c>
      <c r="P33" s="149">
        <v>4549568</v>
      </c>
      <c r="Q33" s="26">
        <v>0</v>
      </c>
      <c r="R33" s="26">
        <v>6805389</v>
      </c>
      <c r="S33" s="26">
        <v>0</v>
      </c>
      <c r="T33" s="26">
        <v>0</v>
      </c>
      <c r="U33" s="26">
        <f>2568402.9+74956.24</f>
        <v>2643359.14</v>
      </c>
      <c r="V33" s="26">
        <v>10988327</v>
      </c>
      <c r="W33" s="149">
        <v>0</v>
      </c>
      <c r="X33" s="26">
        <v>0</v>
      </c>
      <c r="Y33" s="26">
        <f t="shared" si="20"/>
        <v>0</v>
      </c>
      <c r="Z33" s="26">
        <f t="shared" si="21"/>
        <v>0</v>
      </c>
      <c r="AA33" s="26">
        <f t="shared" si="22"/>
        <v>25177666.14</v>
      </c>
      <c r="AB33" s="27"/>
      <c r="AC33" s="28"/>
      <c r="AD33" s="29" t="s">
        <v>30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0</v>
      </c>
      <c r="AN33" s="26">
        <v>0</v>
      </c>
      <c r="AO33" s="26">
        <v>0</v>
      </c>
      <c r="AP33" s="26">
        <v>0</v>
      </c>
      <c r="AQ33" s="26">
        <f>SUM(AE33:AP33)</f>
        <v>0</v>
      </c>
      <c r="AR33" s="27"/>
      <c r="AS33" s="28"/>
      <c r="AT33" s="29" t="s">
        <v>30</v>
      </c>
      <c r="AU33" s="26">
        <v>0</v>
      </c>
      <c r="AV33" s="26">
        <v>0</v>
      </c>
      <c r="AW33" s="26">
        <v>0</v>
      </c>
      <c r="AX33" s="26">
        <v>0</v>
      </c>
      <c r="AY33" s="26">
        <v>0</v>
      </c>
      <c r="AZ33" s="26">
        <v>0</v>
      </c>
      <c r="BA33" s="26">
        <v>0</v>
      </c>
      <c r="BB33" s="26">
        <v>0</v>
      </c>
      <c r="BC33" s="26">
        <v>0</v>
      </c>
      <c r="BD33" s="26">
        <f>SUM(AU33:BC33)</f>
        <v>0</v>
      </c>
      <c r="BE33" s="27"/>
      <c r="BF33" s="193"/>
      <c r="BG33" s="29" t="s">
        <v>30</v>
      </c>
      <c r="BH33" s="149">
        <v>187244.08</v>
      </c>
      <c r="BI33" s="26">
        <v>531473</v>
      </c>
      <c r="BJ33" s="141">
        <v>0</v>
      </c>
      <c r="BK33" s="26"/>
      <c r="BL33" s="26">
        <v>0</v>
      </c>
      <c r="BM33" s="26">
        <f t="shared" si="23"/>
        <v>718717.08</v>
      </c>
      <c r="BN33" s="27"/>
      <c r="BO33" s="27"/>
      <c r="BQ33" s="37"/>
    </row>
    <row r="34" spans="1:69" ht="16.5" customHeight="1">
      <c r="A34" s="230" t="s">
        <v>31</v>
      </c>
      <c r="B34" s="29">
        <v>186997</v>
      </c>
      <c r="C34" s="26">
        <f>AA34</f>
        <v>48886177.94</v>
      </c>
      <c r="D34" s="26">
        <f>BM34</f>
        <v>249682.64</v>
      </c>
      <c r="E34" s="26">
        <f>SUM(B34:D34)</f>
        <v>49322857.58</v>
      </c>
      <c r="F34" s="26">
        <v>831330.83</v>
      </c>
      <c r="G34" s="26">
        <v>400250</v>
      </c>
      <c r="H34" s="26">
        <f>E34+F34-G34</f>
        <v>49753938.41</v>
      </c>
      <c r="I34" s="27"/>
      <c r="J34" s="27"/>
      <c r="K34" s="29" t="s">
        <v>31</v>
      </c>
      <c r="L34" s="26">
        <v>4310804</v>
      </c>
      <c r="M34" s="26">
        <v>335300</v>
      </c>
      <c r="N34" s="26">
        <v>1211086</v>
      </c>
      <c r="O34" s="26">
        <v>110500</v>
      </c>
      <c r="P34" s="149">
        <v>1599693</v>
      </c>
      <c r="Q34" s="26">
        <v>60997</v>
      </c>
      <c r="R34" s="26">
        <v>236216</v>
      </c>
      <c r="S34" s="26">
        <v>6500</v>
      </c>
      <c r="T34" s="26">
        <v>0</v>
      </c>
      <c r="U34" s="26">
        <f>40119.74+58043.98</f>
        <v>98163.72</v>
      </c>
      <c r="V34" s="26">
        <f>5015659+40089538-7399454-1137728</f>
        <v>36568015</v>
      </c>
      <c r="W34" s="149">
        <v>793280</v>
      </c>
      <c r="X34" s="26">
        <v>0</v>
      </c>
      <c r="Y34" s="26">
        <f t="shared" si="20"/>
        <v>3555223.22</v>
      </c>
      <c r="Z34" s="26">
        <f t="shared" si="21"/>
        <v>400</v>
      </c>
      <c r="AA34" s="26">
        <f>SUM(L34:Z34)</f>
        <v>48886177.94</v>
      </c>
      <c r="AB34" s="27"/>
      <c r="AC34" s="28"/>
      <c r="AD34" s="29" t="s">
        <v>31</v>
      </c>
      <c r="AE34" s="26">
        <v>2814</v>
      </c>
      <c r="AF34" s="26">
        <v>0</v>
      </c>
      <c r="AG34" s="26">
        <v>0</v>
      </c>
      <c r="AH34" s="26">
        <f>400000+11666</f>
        <v>411666</v>
      </c>
      <c r="AI34" s="26">
        <v>0</v>
      </c>
      <c r="AJ34" s="26">
        <v>0</v>
      </c>
      <c r="AK34" s="26">
        <v>0</v>
      </c>
      <c r="AL34" s="26">
        <v>0</v>
      </c>
      <c r="AM34" s="26">
        <v>100</v>
      </c>
      <c r="AN34" s="26">
        <v>46000</v>
      </c>
      <c r="AO34" s="26">
        <v>0</v>
      </c>
      <c r="AP34" s="26">
        <v>3094643.22</v>
      </c>
      <c r="AQ34" s="26">
        <f>SUM(AE34:AP34)</f>
        <v>3555223.22</v>
      </c>
      <c r="AR34" s="27"/>
      <c r="AS34" s="28"/>
      <c r="AT34" s="29" t="s">
        <v>31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0</v>
      </c>
      <c r="BB34" s="26">
        <v>0</v>
      </c>
      <c r="BC34" s="26">
        <v>400</v>
      </c>
      <c r="BD34" s="26">
        <f>SUM(AU34:BC34)</f>
        <v>400</v>
      </c>
      <c r="BE34" s="27"/>
      <c r="BF34" s="193"/>
      <c r="BG34" s="29" t="s">
        <v>31</v>
      </c>
      <c r="BH34" s="149">
        <f>12910+8581.64</f>
        <v>21491.64</v>
      </c>
      <c r="BI34" s="26">
        <f>235777-7586</f>
        <v>228191</v>
      </c>
      <c r="BJ34" s="147">
        <v>0</v>
      </c>
      <c r="BK34" s="26"/>
      <c r="BL34" s="26">
        <v>0</v>
      </c>
      <c r="BM34" s="26">
        <f>SUM(BH34:BL34)</f>
        <v>249682.64</v>
      </c>
      <c r="BN34" s="27"/>
      <c r="BO34" s="27"/>
      <c r="BQ34" s="37"/>
    </row>
    <row r="35" spans="1:67" ht="16.5" customHeight="1">
      <c r="A35" s="230" t="s">
        <v>32</v>
      </c>
      <c r="B35" s="29">
        <v>0</v>
      </c>
      <c r="C35" s="26">
        <f t="shared" si="24"/>
        <v>2052003.4</v>
      </c>
      <c r="D35" s="26">
        <f t="shared" si="25"/>
        <v>0</v>
      </c>
      <c r="E35" s="26">
        <f t="shared" si="18"/>
        <v>2052003.4</v>
      </c>
      <c r="F35" s="26"/>
      <c r="G35" s="26">
        <v>2052003.4</v>
      </c>
      <c r="H35" s="26">
        <f t="shared" si="19"/>
        <v>0</v>
      </c>
      <c r="I35" s="27"/>
      <c r="J35" s="27"/>
      <c r="K35" s="29" t="s">
        <v>32</v>
      </c>
      <c r="L35" s="26">
        <v>0</v>
      </c>
      <c r="M35" s="26">
        <v>0</v>
      </c>
      <c r="N35" s="26">
        <v>100000</v>
      </c>
      <c r="O35" s="26">
        <v>0</v>
      </c>
      <c r="P35" s="149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f>1349412-391769</f>
        <v>957643</v>
      </c>
      <c r="W35" s="149">
        <v>0</v>
      </c>
      <c r="X35" s="26">
        <v>518377</v>
      </c>
      <c r="Y35" s="26">
        <f t="shared" si="20"/>
        <v>72530.9</v>
      </c>
      <c r="Z35" s="26">
        <f t="shared" si="21"/>
        <v>403452.5</v>
      </c>
      <c r="AA35" s="26">
        <f t="shared" si="22"/>
        <v>2052003.4</v>
      </c>
      <c r="AB35" s="27"/>
      <c r="AC35" s="28"/>
      <c r="AD35" s="29" t="s">
        <v>32</v>
      </c>
      <c r="AE35" s="26">
        <v>72530.9</v>
      </c>
      <c r="AF35" s="26">
        <v>0</v>
      </c>
      <c r="AG35" s="26">
        <v>0</v>
      </c>
      <c r="AH35" s="26">
        <v>0</v>
      </c>
      <c r="AI35" s="26">
        <v>0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26">
        <v>0</v>
      </c>
      <c r="AP35" s="26">
        <v>0</v>
      </c>
      <c r="AQ35" s="26">
        <f aca="true" t="shared" si="26" ref="AQ35:AQ40">SUM(AE35:AP35)</f>
        <v>72530.9</v>
      </c>
      <c r="AR35" s="27"/>
      <c r="AS35" s="28"/>
      <c r="AT35" s="29" t="s">
        <v>32</v>
      </c>
      <c r="AU35" s="26">
        <v>0</v>
      </c>
      <c r="AV35" s="26">
        <v>9905</v>
      </c>
      <c r="AW35" s="26">
        <v>0</v>
      </c>
      <c r="AX35" s="26">
        <v>0</v>
      </c>
      <c r="AY35" s="26">
        <v>0</v>
      </c>
      <c r="AZ35" s="26">
        <v>0</v>
      </c>
      <c r="BA35" s="26">
        <v>0</v>
      </c>
      <c r="BB35" s="26">
        <v>0</v>
      </c>
      <c r="BC35" s="26">
        <v>393547.5</v>
      </c>
      <c r="BD35" s="26">
        <f aca="true" t="shared" si="27" ref="BD35:BD40">SUM(AU35:BC35)</f>
        <v>403452.5</v>
      </c>
      <c r="BE35" s="27"/>
      <c r="BF35" s="193"/>
      <c r="BG35" s="29" t="s">
        <v>32</v>
      </c>
      <c r="BH35" s="149">
        <v>0</v>
      </c>
      <c r="BI35" s="26">
        <v>0</v>
      </c>
      <c r="BJ35" s="141">
        <v>0</v>
      </c>
      <c r="BK35" s="26"/>
      <c r="BL35" s="26">
        <v>0</v>
      </c>
      <c r="BM35" s="26">
        <f t="shared" si="23"/>
        <v>0</v>
      </c>
      <c r="BN35" s="27"/>
      <c r="BO35" s="27"/>
    </row>
    <row r="36" spans="1:67" ht="16.5" customHeight="1">
      <c r="A36" s="230" t="s">
        <v>33</v>
      </c>
      <c r="B36" s="29">
        <v>150195725</v>
      </c>
      <c r="C36" s="26">
        <f t="shared" si="24"/>
        <v>7152242.75</v>
      </c>
      <c r="D36" s="26">
        <f t="shared" si="25"/>
        <v>0</v>
      </c>
      <c r="E36" s="26">
        <f t="shared" si="18"/>
        <v>157347967.75</v>
      </c>
      <c r="F36" s="26">
        <v>385103906</v>
      </c>
      <c r="G36" s="26">
        <v>542451873.75</v>
      </c>
      <c r="H36" s="26">
        <f t="shared" si="19"/>
        <v>0</v>
      </c>
      <c r="I36" s="27"/>
      <c r="J36" s="27"/>
      <c r="K36" s="29" t="s">
        <v>33</v>
      </c>
      <c r="L36" s="26">
        <v>0</v>
      </c>
      <c r="M36" s="26">
        <v>0</v>
      </c>
      <c r="N36" s="26">
        <v>0</v>
      </c>
      <c r="O36" s="26">
        <v>0</v>
      </c>
      <c r="P36" s="149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149">
        <v>0</v>
      </c>
      <c r="X36" s="26">
        <v>0</v>
      </c>
      <c r="Y36" s="26">
        <f t="shared" si="20"/>
        <v>7152242.75</v>
      </c>
      <c r="Z36" s="26">
        <f t="shared" si="21"/>
        <v>0</v>
      </c>
      <c r="AA36" s="26">
        <f t="shared" si="22"/>
        <v>7152242.75</v>
      </c>
      <c r="AB36" s="27"/>
      <c r="AC36" s="28"/>
      <c r="AD36" s="29" t="s">
        <v>33</v>
      </c>
      <c r="AE36" s="26">
        <v>0</v>
      </c>
      <c r="AF36" s="26">
        <v>0</v>
      </c>
      <c r="AG36" s="26">
        <v>7138439.35</v>
      </c>
      <c r="AH36" s="26">
        <f>12947.4</f>
        <v>12947.4</v>
      </c>
      <c r="AI36" s="26">
        <v>0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26">
        <v>0</v>
      </c>
      <c r="AP36" s="26">
        <v>856</v>
      </c>
      <c r="AQ36" s="26">
        <f t="shared" si="26"/>
        <v>7152242.75</v>
      </c>
      <c r="AR36" s="27"/>
      <c r="AS36" s="28"/>
      <c r="AT36" s="29" t="s">
        <v>33</v>
      </c>
      <c r="AU36" s="26">
        <v>0</v>
      </c>
      <c r="AV36" s="26">
        <v>0</v>
      </c>
      <c r="AW36" s="26">
        <v>0</v>
      </c>
      <c r="AX36" s="26">
        <v>0</v>
      </c>
      <c r="AY36" s="26">
        <v>0</v>
      </c>
      <c r="AZ36" s="26">
        <v>0</v>
      </c>
      <c r="BA36" s="26">
        <v>0</v>
      </c>
      <c r="BB36" s="26">
        <v>0</v>
      </c>
      <c r="BC36" s="26">
        <v>0</v>
      </c>
      <c r="BD36" s="26">
        <f t="shared" si="27"/>
        <v>0</v>
      </c>
      <c r="BE36" s="27"/>
      <c r="BF36" s="193"/>
      <c r="BG36" s="29" t="s">
        <v>33</v>
      </c>
      <c r="BH36" s="149">
        <v>0</v>
      </c>
      <c r="BI36" s="26">
        <v>0</v>
      </c>
      <c r="BJ36" s="141">
        <v>0</v>
      </c>
      <c r="BK36" s="26"/>
      <c r="BL36" s="26">
        <v>0</v>
      </c>
      <c r="BM36" s="26">
        <f t="shared" si="23"/>
        <v>0</v>
      </c>
      <c r="BN36" s="27"/>
      <c r="BO36" s="27"/>
    </row>
    <row r="37" spans="1:67" ht="16.5" customHeight="1">
      <c r="A37" s="230" t="s">
        <v>34</v>
      </c>
      <c r="B37" s="29">
        <v>0</v>
      </c>
      <c r="C37" s="26">
        <f t="shared" si="24"/>
        <v>1122212</v>
      </c>
      <c r="D37" s="26">
        <f t="shared" si="25"/>
        <v>0</v>
      </c>
      <c r="E37" s="26">
        <f t="shared" si="18"/>
        <v>1122212</v>
      </c>
      <c r="F37" s="26"/>
      <c r="G37" s="26">
        <v>1122212</v>
      </c>
      <c r="H37" s="26">
        <f t="shared" si="19"/>
        <v>0</v>
      </c>
      <c r="I37" s="27"/>
      <c r="J37" s="27"/>
      <c r="K37" s="29" t="s">
        <v>34</v>
      </c>
      <c r="L37" s="26">
        <v>0</v>
      </c>
      <c r="M37" s="26">
        <v>0</v>
      </c>
      <c r="N37" s="26">
        <v>0</v>
      </c>
      <c r="O37" s="26">
        <v>60000</v>
      </c>
      <c r="P37" s="149">
        <v>0</v>
      </c>
      <c r="Q37" s="26">
        <v>1062212</v>
      </c>
      <c r="R37" s="26">
        <f>145834-145834</f>
        <v>0</v>
      </c>
      <c r="S37" s="26">
        <v>0</v>
      </c>
      <c r="T37" s="26">
        <v>0</v>
      </c>
      <c r="U37" s="26">
        <v>0</v>
      </c>
      <c r="V37" s="26">
        <v>0</v>
      </c>
      <c r="W37" s="149">
        <v>0</v>
      </c>
      <c r="X37" s="26">
        <v>0</v>
      </c>
      <c r="Y37" s="26">
        <f t="shared" si="20"/>
        <v>0</v>
      </c>
      <c r="Z37" s="26">
        <f t="shared" si="21"/>
        <v>0</v>
      </c>
      <c r="AA37" s="26">
        <f t="shared" si="22"/>
        <v>1122212</v>
      </c>
      <c r="AB37" s="27"/>
      <c r="AC37" s="28"/>
      <c r="AD37" s="29" t="s">
        <v>34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f t="shared" si="26"/>
        <v>0</v>
      </c>
      <c r="AR37" s="27"/>
      <c r="AS37" s="28"/>
      <c r="AT37" s="29" t="s">
        <v>34</v>
      </c>
      <c r="AU37" s="26">
        <v>0</v>
      </c>
      <c r="AV37" s="26">
        <v>0</v>
      </c>
      <c r="AW37" s="26">
        <v>0</v>
      </c>
      <c r="AX37" s="26">
        <v>0</v>
      </c>
      <c r="AY37" s="26">
        <v>0</v>
      </c>
      <c r="AZ37" s="26">
        <v>0</v>
      </c>
      <c r="BA37" s="26">
        <v>0</v>
      </c>
      <c r="BB37" s="26">
        <v>0</v>
      </c>
      <c r="BC37" s="26">
        <v>0</v>
      </c>
      <c r="BD37" s="26">
        <f t="shared" si="27"/>
        <v>0</v>
      </c>
      <c r="BE37" s="27"/>
      <c r="BF37" s="193"/>
      <c r="BG37" s="29" t="s">
        <v>34</v>
      </c>
      <c r="BH37" s="149">
        <v>0</v>
      </c>
      <c r="BI37" s="26">
        <v>0</v>
      </c>
      <c r="BJ37" s="141">
        <v>0</v>
      </c>
      <c r="BK37" s="26"/>
      <c r="BL37" s="26">
        <v>0</v>
      </c>
      <c r="BM37" s="26">
        <f t="shared" si="23"/>
        <v>0</v>
      </c>
      <c r="BN37" s="27"/>
      <c r="BO37" s="27"/>
    </row>
    <row r="38" spans="1:67" ht="16.5" customHeight="1">
      <c r="A38" s="230" t="s">
        <v>35</v>
      </c>
      <c r="B38" s="29">
        <v>4791658</v>
      </c>
      <c r="C38" s="26">
        <f t="shared" si="24"/>
        <v>0</v>
      </c>
      <c r="D38" s="26">
        <f t="shared" si="25"/>
        <v>-243640</v>
      </c>
      <c r="E38" s="26">
        <f t="shared" si="18"/>
        <v>4548018</v>
      </c>
      <c r="F38" s="30"/>
      <c r="G38" s="26">
        <v>0</v>
      </c>
      <c r="H38" s="26">
        <f t="shared" si="19"/>
        <v>4548018</v>
      </c>
      <c r="I38" s="27"/>
      <c r="J38" s="27"/>
      <c r="K38" s="29" t="s">
        <v>35</v>
      </c>
      <c r="L38" s="26">
        <v>0</v>
      </c>
      <c r="M38" s="26">
        <v>0</v>
      </c>
      <c r="N38" s="26">
        <v>0</v>
      </c>
      <c r="O38" s="26">
        <v>0</v>
      </c>
      <c r="P38" s="149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149">
        <v>0</v>
      </c>
      <c r="X38" s="26">
        <v>0</v>
      </c>
      <c r="Y38" s="26">
        <f t="shared" si="20"/>
        <v>0</v>
      </c>
      <c r="Z38" s="26">
        <f t="shared" si="21"/>
        <v>0</v>
      </c>
      <c r="AA38" s="26">
        <f t="shared" si="22"/>
        <v>0</v>
      </c>
      <c r="AB38" s="27"/>
      <c r="AC38" s="28"/>
      <c r="AD38" s="29" t="s">
        <v>35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f t="shared" si="26"/>
        <v>0</v>
      </c>
      <c r="AR38" s="27"/>
      <c r="AS38" s="28"/>
      <c r="AT38" s="29" t="s">
        <v>35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26">
        <v>0</v>
      </c>
      <c r="BA38" s="26">
        <v>0</v>
      </c>
      <c r="BB38" s="26">
        <v>0</v>
      </c>
      <c r="BC38" s="26">
        <v>0</v>
      </c>
      <c r="BD38" s="26">
        <f t="shared" si="27"/>
        <v>0</v>
      </c>
      <c r="BE38" s="27"/>
      <c r="BF38" s="193"/>
      <c r="BG38" s="29" t="s">
        <v>35</v>
      </c>
      <c r="BH38" s="149">
        <v>0</v>
      </c>
      <c r="BI38" s="169">
        <v>-243640</v>
      </c>
      <c r="BJ38" s="141">
        <v>0</v>
      </c>
      <c r="BK38" s="26"/>
      <c r="BL38" s="26">
        <v>0</v>
      </c>
      <c r="BM38" s="26">
        <f t="shared" si="23"/>
        <v>-243640</v>
      </c>
      <c r="BN38" s="27"/>
      <c r="BO38" s="27"/>
    </row>
    <row r="39" spans="1:69" ht="16.5" customHeight="1">
      <c r="A39" s="230" t="s">
        <v>36</v>
      </c>
      <c r="B39" s="29">
        <v>0</v>
      </c>
      <c r="C39" s="26">
        <f t="shared" si="24"/>
        <v>6939554.9399999995</v>
      </c>
      <c r="D39" s="26">
        <f t="shared" si="25"/>
        <v>0</v>
      </c>
      <c r="E39" s="26">
        <f t="shared" si="18"/>
        <v>6939554.9399999995</v>
      </c>
      <c r="F39" s="30"/>
      <c r="G39" s="30"/>
      <c r="H39" s="26">
        <f t="shared" si="19"/>
        <v>6939554.9399999995</v>
      </c>
      <c r="I39" s="27"/>
      <c r="J39" s="27"/>
      <c r="K39" s="29" t="s">
        <v>36</v>
      </c>
      <c r="L39" s="26">
        <v>0</v>
      </c>
      <c r="M39" s="26">
        <v>455044</v>
      </c>
      <c r="N39" s="26">
        <v>5000000</v>
      </c>
      <c r="O39" s="26">
        <v>0</v>
      </c>
      <c r="P39" s="149">
        <v>0</v>
      </c>
      <c r="Q39" s="26">
        <v>0</v>
      </c>
      <c r="R39" s="26">
        <v>321441</v>
      </c>
      <c r="S39" s="26">
        <v>0</v>
      </c>
      <c r="T39" s="26">
        <v>0</v>
      </c>
      <c r="U39" s="26">
        <v>1138545.94</v>
      </c>
      <c r="V39" s="26">
        <f>20000+4524</f>
        <v>24524</v>
      </c>
      <c r="W39" s="149">
        <v>0</v>
      </c>
      <c r="X39" s="26">
        <v>0</v>
      </c>
      <c r="Y39" s="26">
        <f t="shared" si="20"/>
        <v>0</v>
      </c>
      <c r="Z39" s="26">
        <f t="shared" si="21"/>
        <v>0</v>
      </c>
      <c r="AA39" s="26">
        <f t="shared" si="22"/>
        <v>6939554.9399999995</v>
      </c>
      <c r="AB39" s="27"/>
      <c r="AC39" s="28"/>
      <c r="AD39" s="29" t="s">
        <v>36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0</v>
      </c>
      <c r="AM39" s="26">
        <v>0</v>
      </c>
      <c r="AN39" s="26">
        <v>0</v>
      </c>
      <c r="AO39" s="26">
        <v>0</v>
      </c>
      <c r="AP39" s="26">
        <v>0</v>
      </c>
      <c r="AQ39" s="26">
        <f t="shared" si="26"/>
        <v>0</v>
      </c>
      <c r="AR39" s="27"/>
      <c r="AS39" s="28"/>
      <c r="AT39" s="29" t="s">
        <v>36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f t="shared" si="27"/>
        <v>0</v>
      </c>
      <c r="BE39" s="27"/>
      <c r="BF39" s="193"/>
      <c r="BG39" s="29" t="s">
        <v>36</v>
      </c>
      <c r="BH39" s="149">
        <v>0</v>
      </c>
      <c r="BI39" s="26">
        <v>0</v>
      </c>
      <c r="BJ39" s="147">
        <v>0</v>
      </c>
      <c r="BK39" s="26"/>
      <c r="BL39" s="26">
        <v>0</v>
      </c>
      <c r="BM39" s="26">
        <f t="shared" si="23"/>
        <v>0</v>
      </c>
      <c r="BN39" s="27"/>
      <c r="BO39" s="27"/>
      <c r="BQ39" s="37"/>
    </row>
    <row r="40" spans="1:69" ht="16.5" customHeight="1">
      <c r="A40" s="230" t="s">
        <v>40</v>
      </c>
      <c r="B40" s="29">
        <v>15116</v>
      </c>
      <c r="C40" s="26">
        <f t="shared" si="24"/>
        <v>5226366.67</v>
      </c>
      <c r="D40" s="26">
        <f t="shared" si="25"/>
        <v>408218.04000000004</v>
      </c>
      <c r="E40" s="26">
        <f t="shared" si="18"/>
        <v>5649700.71</v>
      </c>
      <c r="F40" s="26">
        <v>0</v>
      </c>
      <c r="G40" s="26">
        <v>0</v>
      </c>
      <c r="H40" s="26">
        <f t="shared" si="19"/>
        <v>5649700.71</v>
      </c>
      <c r="I40" s="27"/>
      <c r="J40" s="27"/>
      <c r="K40" s="29" t="s">
        <v>40</v>
      </c>
      <c r="L40" s="26">
        <v>260212</v>
      </c>
      <c r="M40" s="26">
        <v>242951</v>
      </c>
      <c r="N40" s="26">
        <v>1280469</v>
      </c>
      <c r="O40" s="26">
        <v>2329</v>
      </c>
      <c r="P40" s="149">
        <v>2004716</v>
      </c>
      <c r="Q40" s="26">
        <v>-31984</v>
      </c>
      <c r="R40" s="26">
        <v>921965</v>
      </c>
      <c r="S40" s="26">
        <v>864.5</v>
      </c>
      <c r="T40" s="26">
        <v>1698</v>
      </c>
      <c r="U40" s="26">
        <v>166792.86</v>
      </c>
      <c r="V40" s="26">
        <v>278073</v>
      </c>
      <c r="W40" s="149">
        <v>2</v>
      </c>
      <c r="X40" s="26">
        <v>8841</v>
      </c>
      <c r="Y40" s="26">
        <f t="shared" si="20"/>
        <v>89423.31000000001</v>
      </c>
      <c r="Z40" s="26">
        <f t="shared" si="21"/>
        <v>14</v>
      </c>
      <c r="AA40" s="26">
        <f t="shared" si="22"/>
        <v>5226366.67</v>
      </c>
      <c r="AB40" s="27"/>
      <c r="AC40" s="28"/>
      <c r="AD40" s="29" t="s">
        <v>40</v>
      </c>
      <c r="AE40" s="26">
        <v>9467.86</v>
      </c>
      <c r="AF40" s="26">
        <f>17.2+2</f>
        <v>19.2</v>
      </c>
      <c r="AG40" s="26">
        <v>1983.4</v>
      </c>
      <c r="AH40" s="26">
        <v>2</v>
      </c>
      <c r="AI40" s="26">
        <v>2</v>
      </c>
      <c r="AJ40" s="26">
        <v>2</v>
      </c>
      <c r="AK40" s="26">
        <v>2.5</v>
      </c>
      <c r="AL40" s="26">
        <v>2.5</v>
      </c>
      <c r="AM40" s="26">
        <v>109</v>
      </c>
      <c r="AN40" s="26">
        <f>77826.85+2</f>
        <v>77828.85</v>
      </c>
      <c r="AO40" s="26">
        <v>2</v>
      </c>
      <c r="AP40" s="26">
        <v>2</v>
      </c>
      <c r="AQ40" s="26">
        <f t="shared" si="26"/>
        <v>89423.31000000001</v>
      </c>
      <c r="AR40" s="27"/>
      <c r="AS40" s="28"/>
      <c r="AT40" s="29" t="s">
        <v>40</v>
      </c>
      <c r="AU40" s="26">
        <v>2</v>
      </c>
      <c r="AV40" s="26">
        <v>2</v>
      </c>
      <c r="AW40" s="26">
        <v>2</v>
      </c>
      <c r="AX40" s="26">
        <v>2</v>
      </c>
      <c r="AY40" s="26">
        <v>2</v>
      </c>
      <c r="AZ40" s="26">
        <v>0</v>
      </c>
      <c r="BA40" s="26">
        <v>2</v>
      </c>
      <c r="BB40" s="26">
        <v>2</v>
      </c>
      <c r="BC40" s="26">
        <v>0</v>
      </c>
      <c r="BD40" s="26">
        <f t="shared" si="27"/>
        <v>14</v>
      </c>
      <c r="BE40" s="27"/>
      <c r="BF40" s="193"/>
      <c r="BG40" s="29" t="s">
        <v>40</v>
      </c>
      <c r="BH40" s="149">
        <v>193.77</v>
      </c>
      <c r="BI40" s="38">
        <v>407670</v>
      </c>
      <c r="BJ40" s="141">
        <v>354.27</v>
      </c>
      <c r="BK40" s="26"/>
      <c r="BL40" s="26">
        <v>0</v>
      </c>
      <c r="BM40" s="26">
        <f t="shared" si="23"/>
        <v>408218.04000000004</v>
      </c>
      <c r="BN40" s="27"/>
      <c r="BO40" s="27"/>
      <c r="BQ40" s="37"/>
    </row>
    <row r="41" spans="1:69" ht="16.5" customHeight="1">
      <c r="A41" s="230"/>
      <c r="B41" s="29"/>
      <c r="C41" s="26"/>
      <c r="D41" s="26"/>
      <c r="E41" s="26"/>
      <c r="F41" s="26"/>
      <c r="G41" s="26"/>
      <c r="H41" s="26"/>
      <c r="I41" s="27"/>
      <c r="J41" s="27"/>
      <c r="K41" s="29"/>
      <c r="L41" s="26"/>
      <c r="M41" s="26"/>
      <c r="N41" s="26"/>
      <c r="O41" s="26"/>
      <c r="P41" s="155"/>
      <c r="Q41" s="26"/>
      <c r="R41" s="26"/>
      <c r="S41" s="26"/>
      <c r="T41" s="26"/>
      <c r="U41" s="26"/>
      <c r="V41" s="26"/>
      <c r="W41" s="155"/>
      <c r="X41" s="26"/>
      <c r="Y41" s="26"/>
      <c r="Z41" s="26"/>
      <c r="AA41" s="26"/>
      <c r="AB41" s="27"/>
      <c r="AC41" s="28"/>
      <c r="AD41" s="29"/>
      <c r="AE41" s="26"/>
      <c r="AF41" s="26"/>
      <c r="AG41" s="26"/>
      <c r="AH41" s="34"/>
      <c r="AI41" s="26"/>
      <c r="AJ41" s="26"/>
      <c r="AK41" s="26"/>
      <c r="AL41" s="26"/>
      <c r="AM41" s="34"/>
      <c r="AN41" s="26"/>
      <c r="AO41" s="26"/>
      <c r="AP41" s="26"/>
      <c r="AQ41" s="26"/>
      <c r="AR41" s="27"/>
      <c r="AS41" s="28"/>
      <c r="AT41" s="29"/>
      <c r="AU41" s="26"/>
      <c r="AV41" s="26"/>
      <c r="AW41" s="26"/>
      <c r="AX41" s="34"/>
      <c r="AY41" s="26"/>
      <c r="AZ41" s="26"/>
      <c r="BA41" s="26"/>
      <c r="BB41" s="26"/>
      <c r="BC41" s="26"/>
      <c r="BD41" s="26"/>
      <c r="BE41" s="27"/>
      <c r="BF41" s="193"/>
      <c r="BG41" s="29"/>
      <c r="BH41" s="155"/>
      <c r="BI41" s="38"/>
      <c r="BJ41" s="145"/>
      <c r="BK41" s="26"/>
      <c r="BL41" s="26"/>
      <c r="BM41" s="26"/>
      <c r="BN41" s="27"/>
      <c r="BO41" s="27"/>
      <c r="BQ41" s="37"/>
    </row>
    <row r="42" spans="1:67" ht="16.5" customHeight="1">
      <c r="A42" s="273"/>
      <c r="B42" s="275">
        <f>SUM(B31:B41)</f>
        <v>155189496</v>
      </c>
      <c r="C42" s="39">
        <f>SUM(C31:C40)</f>
        <v>284610854.72</v>
      </c>
      <c r="D42" s="39">
        <f>SUM(D31:D40)</f>
        <v>1132977.76</v>
      </c>
      <c r="E42" s="39">
        <f>SUM(E31:E40)</f>
        <v>440933328.48</v>
      </c>
      <c r="F42" s="30"/>
      <c r="G42" s="30"/>
      <c r="H42" s="39">
        <f>SUM(H31:H40)</f>
        <v>312362414.15999997</v>
      </c>
      <c r="I42" s="27"/>
      <c r="J42" s="27"/>
      <c r="K42" s="35"/>
      <c r="L42" s="39">
        <f>SUM(L31:L40)</f>
        <v>4571256</v>
      </c>
      <c r="M42" s="39">
        <f>SUM(M31:M40)</f>
        <v>1224078</v>
      </c>
      <c r="N42" s="39">
        <f>SUM(N31:N40)</f>
        <v>7591555</v>
      </c>
      <c r="O42" s="39">
        <f>SUM(O31:O40)</f>
        <v>172829</v>
      </c>
      <c r="P42" s="39">
        <f aca="true" t="shared" si="28" ref="P42:AA42">SUM(P31:P40)</f>
        <v>9805522</v>
      </c>
      <c r="Q42" s="39">
        <f t="shared" si="28"/>
        <v>1328348</v>
      </c>
      <c r="R42" s="39">
        <f t="shared" si="28"/>
        <v>153104479</v>
      </c>
      <c r="S42" s="39">
        <f t="shared" si="28"/>
        <v>7364.5</v>
      </c>
      <c r="T42" s="39">
        <f t="shared" si="28"/>
        <v>2801698</v>
      </c>
      <c r="U42" s="39">
        <f t="shared" si="28"/>
        <v>4046861.66</v>
      </c>
      <c r="V42" s="39">
        <f t="shared" si="28"/>
        <v>50245070</v>
      </c>
      <c r="W42" s="39">
        <f t="shared" si="28"/>
        <v>32793282</v>
      </c>
      <c r="X42" s="39">
        <f t="shared" si="28"/>
        <v>527218</v>
      </c>
      <c r="Y42" s="39">
        <f t="shared" si="28"/>
        <v>11294420.180000002</v>
      </c>
      <c r="Z42" s="39">
        <f t="shared" si="28"/>
        <v>5096873.38</v>
      </c>
      <c r="AA42" s="39">
        <f t="shared" si="28"/>
        <v>284610854.72</v>
      </c>
      <c r="AB42" s="27"/>
      <c r="AC42" s="28"/>
      <c r="AD42" s="35"/>
      <c r="AE42" s="39">
        <f aca="true" t="shared" si="29" ref="AE42:AQ42">SUM(AE31:AE40)</f>
        <v>84812.76</v>
      </c>
      <c r="AF42" s="39">
        <f t="shared" si="29"/>
        <v>19.2</v>
      </c>
      <c r="AG42" s="39">
        <f t="shared" si="29"/>
        <v>7140422.75</v>
      </c>
      <c r="AH42" s="39">
        <f t="shared" si="29"/>
        <v>424615.4</v>
      </c>
      <c r="AI42" s="39">
        <f t="shared" si="29"/>
        <v>2</v>
      </c>
      <c r="AJ42" s="39">
        <f t="shared" si="29"/>
        <v>2</v>
      </c>
      <c r="AK42" s="39">
        <f t="shared" si="29"/>
        <v>2.5</v>
      </c>
      <c r="AL42" s="39">
        <f t="shared" si="29"/>
        <v>2.5</v>
      </c>
      <c r="AM42" s="39">
        <f>SUM(AM31:AM40)</f>
        <v>209</v>
      </c>
      <c r="AN42" s="39">
        <f>SUM(AN31:AN40)</f>
        <v>123828.85</v>
      </c>
      <c r="AO42" s="39">
        <f t="shared" si="29"/>
        <v>425002</v>
      </c>
      <c r="AP42" s="39">
        <f t="shared" si="29"/>
        <v>3095501.22</v>
      </c>
      <c r="AQ42" s="39">
        <f t="shared" si="29"/>
        <v>11294420.180000002</v>
      </c>
      <c r="AR42" s="27"/>
      <c r="AS42" s="28"/>
      <c r="AT42" s="35"/>
      <c r="AU42" s="39">
        <f aca="true" t="shared" si="30" ref="AU42:BD42">SUM(AU31:AU40)</f>
        <v>4693008.88</v>
      </c>
      <c r="AV42" s="39">
        <f>SUM(AV31:AV40)</f>
        <v>9907</v>
      </c>
      <c r="AW42" s="39">
        <f t="shared" si="30"/>
        <v>2</v>
      </c>
      <c r="AX42" s="39">
        <f t="shared" si="30"/>
        <v>2</v>
      </c>
      <c r="AY42" s="39">
        <f t="shared" si="30"/>
        <v>2</v>
      </c>
      <c r="AZ42" s="39">
        <f t="shared" si="30"/>
        <v>0</v>
      </c>
      <c r="BA42" s="39">
        <f t="shared" si="30"/>
        <v>2</v>
      </c>
      <c r="BB42" s="39">
        <f t="shared" si="30"/>
        <v>2</v>
      </c>
      <c r="BC42" s="39">
        <f t="shared" si="30"/>
        <v>393947.5</v>
      </c>
      <c r="BD42" s="39">
        <f t="shared" si="30"/>
        <v>5096873.38</v>
      </c>
      <c r="BE42" s="27"/>
      <c r="BF42" s="193"/>
      <c r="BG42" s="35"/>
      <c r="BH42" s="39">
        <f aca="true" t="shared" si="31" ref="BH42:BM42">SUM(BH31:BH40)</f>
        <v>208929.48999999996</v>
      </c>
      <c r="BI42" s="39">
        <f t="shared" si="31"/>
        <v>923694</v>
      </c>
      <c r="BJ42" s="39">
        <f t="shared" si="31"/>
        <v>354.27</v>
      </c>
      <c r="BK42" s="39"/>
      <c r="BL42" s="39">
        <f t="shared" si="31"/>
        <v>0</v>
      </c>
      <c r="BM42" s="39">
        <f t="shared" si="31"/>
        <v>1132977.76</v>
      </c>
      <c r="BN42" s="27"/>
      <c r="BO42" s="27"/>
    </row>
    <row r="43" spans="1:67" ht="16.5" customHeight="1">
      <c r="A43" s="272" t="s">
        <v>412</v>
      </c>
      <c r="B43" s="35"/>
      <c r="C43" s="26"/>
      <c r="D43" s="26"/>
      <c r="E43" s="26"/>
      <c r="F43" s="30"/>
      <c r="G43" s="30"/>
      <c r="H43" s="26"/>
      <c r="I43" s="27"/>
      <c r="J43" s="27"/>
      <c r="K43" s="25" t="s">
        <v>412</v>
      </c>
      <c r="L43" s="30"/>
      <c r="M43" s="26"/>
      <c r="N43" s="26"/>
      <c r="O43" s="26"/>
      <c r="P43" s="156"/>
      <c r="Q43" s="26"/>
      <c r="R43" s="30"/>
      <c r="S43" s="26"/>
      <c r="T43" s="26"/>
      <c r="U43" s="26"/>
      <c r="V43" s="26"/>
      <c r="W43" s="156"/>
      <c r="X43" s="26"/>
      <c r="Y43" s="26"/>
      <c r="Z43" s="26"/>
      <c r="AA43" s="26"/>
      <c r="AB43" s="27"/>
      <c r="AC43" s="28"/>
      <c r="AD43" s="25" t="s">
        <v>412</v>
      </c>
      <c r="AE43" s="30"/>
      <c r="AF43" s="26"/>
      <c r="AG43" s="26"/>
      <c r="AH43" s="30"/>
      <c r="AI43" s="26"/>
      <c r="AJ43" s="26"/>
      <c r="AK43" s="26"/>
      <c r="AL43" s="26"/>
      <c r="AM43" s="30"/>
      <c r="AN43" s="26"/>
      <c r="AO43" s="26"/>
      <c r="AP43" s="26"/>
      <c r="AQ43" s="26"/>
      <c r="AR43" s="27"/>
      <c r="AS43" s="28"/>
      <c r="AT43" s="25" t="s">
        <v>412</v>
      </c>
      <c r="AU43" s="30"/>
      <c r="AV43" s="26"/>
      <c r="AW43" s="26"/>
      <c r="AX43" s="30"/>
      <c r="AY43" s="26"/>
      <c r="AZ43" s="26"/>
      <c r="BA43" s="26"/>
      <c r="BB43" s="26"/>
      <c r="BC43" s="26"/>
      <c r="BD43" s="26"/>
      <c r="BE43" s="27"/>
      <c r="BF43" s="193"/>
      <c r="BG43" s="25" t="s">
        <v>412</v>
      </c>
      <c r="BH43" s="156"/>
      <c r="BI43" s="26"/>
      <c r="BJ43" s="148"/>
      <c r="BK43" s="26"/>
      <c r="BL43" s="26"/>
      <c r="BM43" s="26"/>
      <c r="BN43" s="27"/>
      <c r="BO43" s="27"/>
    </row>
    <row r="44" spans="1:67" ht="16.5" customHeight="1">
      <c r="A44" s="230" t="s">
        <v>43</v>
      </c>
      <c r="B44" s="29">
        <v>0</v>
      </c>
      <c r="C44" s="26">
        <f>AA44</f>
        <v>0</v>
      </c>
      <c r="D44" s="26">
        <f>BM44</f>
        <v>0</v>
      </c>
      <c r="E44" s="26">
        <f>SUM(B44:D44)</f>
        <v>0</v>
      </c>
      <c r="F44" s="26">
        <v>0</v>
      </c>
      <c r="G44" s="26" t="s">
        <v>409</v>
      </c>
      <c r="H44" s="26">
        <f>E44-F44+G44</f>
        <v>0</v>
      </c>
      <c r="I44" s="27"/>
      <c r="J44" s="27"/>
      <c r="K44" s="29" t="s">
        <v>43</v>
      </c>
      <c r="L44" s="26">
        <v>0</v>
      </c>
      <c r="M44" s="26">
        <v>0</v>
      </c>
      <c r="N44" s="26">
        <v>0</v>
      </c>
      <c r="O44" s="26">
        <v>0</v>
      </c>
      <c r="P44" s="149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149">
        <v>0</v>
      </c>
      <c r="X44" s="26">
        <v>0</v>
      </c>
      <c r="Y44" s="26">
        <f>AQ44</f>
        <v>0</v>
      </c>
      <c r="Z44" s="26">
        <f>BD44</f>
        <v>0</v>
      </c>
      <c r="AA44" s="26">
        <f>SUM(L44:Z44)</f>
        <v>0</v>
      </c>
      <c r="AB44" s="27"/>
      <c r="AC44" s="28"/>
      <c r="AD44" s="29" t="s">
        <v>43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f>CG44</f>
        <v>0</v>
      </c>
      <c r="AQ44" s="26">
        <f>SUM(AE44:AP44)</f>
        <v>0</v>
      </c>
      <c r="AR44" s="27"/>
      <c r="AS44" s="28"/>
      <c r="AT44" s="29" t="s">
        <v>43</v>
      </c>
      <c r="AU44" s="26">
        <v>0</v>
      </c>
      <c r="AV44" s="26">
        <v>0</v>
      </c>
      <c r="AW44" s="26">
        <v>0</v>
      </c>
      <c r="AX44" s="26">
        <v>0</v>
      </c>
      <c r="AY44" s="26">
        <v>0</v>
      </c>
      <c r="AZ44" s="26">
        <v>0</v>
      </c>
      <c r="BA44" s="26">
        <v>0</v>
      </c>
      <c r="BB44" s="26">
        <v>0</v>
      </c>
      <c r="BC44" s="26">
        <f>DA44</f>
        <v>0</v>
      </c>
      <c r="BD44" s="26">
        <f>SUM(AU44:BC44)</f>
        <v>0</v>
      </c>
      <c r="BE44" s="27"/>
      <c r="BF44" s="193"/>
      <c r="BG44" s="29" t="s">
        <v>43</v>
      </c>
      <c r="BH44" s="157">
        <v>0</v>
      </c>
      <c r="BI44" s="30">
        <v>0</v>
      </c>
      <c r="BJ44" s="147">
        <v>0</v>
      </c>
      <c r="BK44" s="26"/>
      <c r="BL44" s="26">
        <v>0</v>
      </c>
      <c r="BM44" s="26">
        <f>SUM(BH44:BL44)</f>
        <v>0</v>
      </c>
      <c r="BN44" s="27"/>
      <c r="BO44" s="27"/>
    </row>
    <row r="45" spans="1:67" ht="16.5" customHeight="1">
      <c r="A45" s="230" t="s">
        <v>44</v>
      </c>
      <c r="B45" s="35"/>
      <c r="C45" s="26"/>
      <c r="D45" s="26"/>
      <c r="E45" s="26"/>
      <c r="F45" s="30"/>
      <c r="G45" s="30"/>
      <c r="H45" s="26" t="s">
        <v>409</v>
      </c>
      <c r="I45" s="27"/>
      <c r="J45" s="27"/>
      <c r="K45" s="29" t="s">
        <v>44</v>
      </c>
      <c r="L45" s="30"/>
      <c r="M45" s="26"/>
      <c r="N45" s="26"/>
      <c r="O45" s="26"/>
      <c r="P45" s="157"/>
      <c r="Q45" s="26"/>
      <c r="R45" s="30"/>
      <c r="S45" s="26"/>
      <c r="T45" s="26"/>
      <c r="U45" s="26"/>
      <c r="V45" s="26"/>
      <c r="W45" s="157"/>
      <c r="X45" s="26"/>
      <c r="Y45" s="26"/>
      <c r="Z45" s="26"/>
      <c r="AA45" s="26"/>
      <c r="AB45" s="27"/>
      <c r="AC45" s="28"/>
      <c r="AD45" s="29" t="s">
        <v>44</v>
      </c>
      <c r="AE45" s="30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7"/>
      <c r="AS45" s="28"/>
      <c r="AT45" s="29" t="s">
        <v>44</v>
      </c>
      <c r="AU45" s="30"/>
      <c r="AV45" s="26"/>
      <c r="AW45" s="26"/>
      <c r="AX45" s="26"/>
      <c r="AY45" s="26"/>
      <c r="AZ45" s="26"/>
      <c r="BA45" s="26"/>
      <c r="BB45" s="26"/>
      <c r="BC45" s="26"/>
      <c r="BD45" s="26"/>
      <c r="BE45" s="27"/>
      <c r="BF45" s="193"/>
      <c r="BG45" s="29" t="s">
        <v>44</v>
      </c>
      <c r="BH45" s="157"/>
      <c r="BI45" s="26"/>
      <c r="BJ45" s="147"/>
      <c r="BK45" s="26"/>
      <c r="BL45" s="26"/>
      <c r="BM45" s="26"/>
      <c r="BN45" s="27"/>
      <c r="BO45" s="27"/>
    </row>
    <row r="46" spans="1:67" ht="16.5" customHeight="1">
      <c r="A46" s="230" t="s">
        <v>45</v>
      </c>
      <c r="B46" s="34">
        <v>0</v>
      </c>
      <c r="C46" s="31">
        <f>AA46</f>
        <v>0</v>
      </c>
      <c r="D46" s="31">
        <f>BM46</f>
        <v>0</v>
      </c>
      <c r="E46" s="31">
        <f>SUM(B46:D46)</f>
        <v>0</v>
      </c>
      <c r="F46" s="26" t="s">
        <v>409</v>
      </c>
      <c r="G46" s="26">
        <v>0</v>
      </c>
      <c r="H46" s="31">
        <f>E46+F46-G46</f>
        <v>0</v>
      </c>
      <c r="I46" s="27"/>
      <c r="J46" s="27"/>
      <c r="K46" s="29" t="s">
        <v>45</v>
      </c>
      <c r="L46" s="31">
        <v>0</v>
      </c>
      <c r="M46" s="31">
        <v>0</v>
      </c>
      <c r="N46" s="31">
        <v>0</v>
      </c>
      <c r="O46" s="31">
        <v>0</v>
      </c>
      <c r="P46" s="158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158">
        <v>0</v>
      </c>
      <c r="X46" s="31">
        <v>0</v>
      </c>
      <c r="Y46" s="31">
        <f>AQ46</f>
        <v>0</v>
      </c>
      <c r="Z46" s="31">
        <f>BD46</f>
        <v>0</v>
      </c>
      <c r="AA46" s="31">
        <f>SUM(L46:Z46)</f>
        <v>0</v>
      </c>
      <c r="AB46" s="27"/>
      <c r="AC46" s="28"/>
      <c r="AD46" s="29" t="s">
        <v>45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f>CG46</f>
        <v>0</v>
      </c>
      <c r="AQ46" s="31">
        <f>SUM(AE46:AP46)</f>
        <v>0</v>
      </c>
      <c r="AR46" s="27"/>
      <c r="AS46" s="28"/>
      <c r="AT46" s="29" t="s">
        <v>45</v>
      </c>
      <c r="AU46" s="31">
        <v>0</v>
      </c>
      <c r="AV46" s="31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f>DA46</f>
        <v>0</v>
      </c>
      <c r="BD46" s="31">
        <f>SUM(AU46:BC46)</f>
        <v>0</v>
      </c>
      <c r="BE46" s="27"/>
      <c r="BF46" s="193"/>
      <c r="BG46" s="29" t="s">
        <v>45</v>
      </c>
      <c r="BH46" s="158">
        <v>0</v>
      </c>
      <c r="BI46" s="158">
        <v>0</v>
      </c>
      <c r="BJ46" s="158">
        <v>0</v>
      </c>
      <c r="BK46" s="40"/>
      <c r="BL46" s="31">
        <v>0</v>
      </c>
      <c r="BM46" s="31">
        <f>SUM(BH46:BL46)</f>
        <v>0</v>
      </c>
      <c r="BN46" s="27"/>
      <c r="BO46" s="27"/>
    </row>
    <row r="47" spans="1:67" ht="16.5" customHeight="1">
      <c r="A47" s="273"/>
      <c r="B47" s="29">
        <v>0</v>
      </c>
      <c r="C47" s="26">
        <f>C44-C46</f>
        <v>0</v>
      </c>
      <c r="D47" s="26">
        <f>D44-D46</f>
        <v>0</v>
      </c>
      <c r="E47" s="26">
        <f>E44-E46</f>
        <v>0</v>
      </c>
      <c r="F47" s="30"/>
      <c r="G47" s="30"/>
      <c r="H47" s="26">
        <f>H44-H46</f>
        <v>0</v>
      </c>
      <c r="I47" s="27"/>
      <c r="J47" s="27"/>
      <c r="K47" s="35"/>
      <c r="L47" s="26">
        <v>0</v>
      </c>
      <c r="M47" s="26">
        <v>0</v>
      </c>
      <c r="N47" s="26">
        <v>0</v>
      </c>
      <c r="O47" s="26">
        <f>O44-O46</f>
        <v>0</v>
      </c>
      <c r="P47" s="155">
        <v>0</v>
      </c>
      <c r="Q47" s="26">
        <f>Q44-Q46</f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9">
        <v>0</v>
      </c>
      <c r="X47" s="26">
        <f>X44-X46</f>
        <v>0</v>
      </c>
      <c r="Y47" s="26">
        <f>Y44-Y46</f>
        <v>0</v>
      </c>
      <c r="Z47" s="26">
        <f>Z44-Z46</f>
        <v>0</v>
      </c>
      <c r="AA47" s="26">
        <f>AA44-AA46</f>
        <v>0</v>
      </c>
      <c r="AB47" s="27"/>
      <c r="AC47" s="28"/>
      <c r="AD47" s="35"/>
      <c r="AE47" s="26">
        <v>0</v>
      </c>
      <c r="AF47" s="26">
        <v>0</v>
      </c>
      <c r="AG47" s="26">
        <v>0</v>
      </c>
      <c r="AH47" s="26">
        <v>0</v>
      </c>
      <c r="AI47" s="26">
        <f aca="true" t="shared" si="32" ref="AI47:AQ47">AI44-AI46</f>
        <v>0</v>
      </c>
      <c r="AJ47" s="26">
        <f t="shared" si="32"/>
        <v>0</v>
      </c>
      <c r="AK47" s="26">
        <f t="shared" si="32"/>
        <v>0</v>
      </c>
      <c r="AL47" s="26">
        <f t="shared" si="32"/>
        <v>0</v>
      </c>
      <c r="AM47" s="26">
        <v>0</v>
      </c>
      <c r="AN47" s="26">
        <f t="shared" si="32"/>
        <v>0</v>
      </c>
      <c r="AO47" s="26">
        <f t="shared" si="32"/>
        <v>0</v>
      </c>
      <c r="AP47" s="26">
        <f t="shared" si="32"/>
        <v>0</v>
      </c>
      <c r="AQ47" s="26">
        <f t="shared" si="32"/>
        <v>0</v>
      </c>
      <c r="AR47" s="27"/>
      <c r="AS47" s="28"/>
      <c r="AT47" s="35"/>
      <c r="AU47" s="26">
        <v>0</v>
      </c>
      <c r="AV47" s="26">
        <f>AV44-AV46</f>
        <v>0</v>
      </c>
      <c r="AW47" s="26">
        <v>0</v>
      </c>
      <c r="AX47" s="26">
        <v>0</v>
      </c>
      <c r="AY47" s="26">
        <f aca="true" t="shared" si="33" ref="AY47:BD47">AY44-AY46</f>
        <v>0</v>
      </c>
      <c r="AZ47" s="26">
        <f t="shared" si="33"/>
        <v>0</v>
      </c>
      <c r="BA47" s="26">
        <f t="shared" si="33"/>
        <v>0</v>
      </c>
      <c r="BB47" s="26">
        <f t="shared" si="33"/>
        <v>0</v>
      </c>
      <c r="BC47" s="26">
        <f t="shared" si="33"/>
        <v>0</v>
      </c>
      <c r="BD47" s="26">
        <f t="shared" si="33"/>
        <v>0</v>
      </c>
      <c r="BE47" s="27"/>
      <c r="BF47" s="193"/>
      <c r="BG47" s="35"/>
      <c r="BH47" s="29">
        <v>0</v>
      </c>
      <c r="BI47" s="26">
        <v>0</v>
      </c>
      <c r="BJ47" s="26">
        <v>0</v>
      </c>
      <c r="BK47" s="26"/>
      <c r="BL47" s="26">
        <f>BL44-BL46</f>
        <v>0</v>
      </c>
      <c r="BM47" s="26">
        <f>BM44-BM46</f>
        <v>0</v>
      </c>
      <c r="BN47" s="41"/>
      <c r="BO47" s="27"/>
    </row>
    <row r="48" spans="1:69" ht="16.5" customHeight="1">
      <c r="A48" s="230" t="s">
        <v>46</v>
      </c>
      <c r="B48" s="29">
        <v>0</v>
      </c>
      <c r="C48" s="26">
        <f aca="true" t="shared" si="34" ref="C48:C60">AA48</f>
        <v>47293399.010000005</v>
      </c>
      <c r="D48" s="26">
        <f aca="true" t="shared" si="35" ref="D48:D60">BM48</f>
        <v>4236666.66</v>
      </c>
      <c r="E48" s="26">
        <f aca="true" t="shared" si="36" ref="E48:E60">SUM(B48:D48)</f>
        <v>51530065.67</v>
      </c>
      <c r="F48" s="26">
        <v>1514951</v>
      </c>
      <c r="G48" s="26">
        <v>1514951</v>
      </c>
      <c r="H48" s="26">
        <f aca="true" t="shared" si="37" ref="H48:H60">E48-F48+G48</f>
        <v>51530065.67</v>
      </c>
      <c r="I48" s="27"/>
      <c r="J48" s="27"/>
      <c r="K48" s="29" t="s">
        <v>46</v>
      </c>
      <c r="L48" s="26">
        <v>111156</v>
      </c>
      <c r="M48" s="26">
        <v>103621</v>
      </c>
      <c r="N48" s="26">
        <v>0</v>
      </c>
      <c r="O48" s="26">
        <v>0</v>
      </c>
      <c r="P48" s="149">
        <v>3539185</v>
      </c>
      <c r="Q48" s="26">
        <f>4122072</f>
        <v>4122072</v>
      </c>
      <c r="R48" s="26">
        <v>19500017</v>
      </c>
      <c r="S48" s="26">
        <v>0</v>
      </c>
      <c r="T48" s="26">
        <v>0</v>
      </c>
      <c r="U48" s="26">
        <f>3917789.88+924695.16-2798042.32+103782.29</f>
        <v>2148225.0100000002</v>
      </c>
      <c r="V48" s="26">
        <v>17769123</v>
      </c>
      <c r="W48" s="149">
        <v>0</v>
      </c>
      <c r="X48" s="26">
        <v>0</v>
      </c>
      <c r="Y48" s="26">
        <f aca="true" t="shared" si="38" ref="Y48:Y60">AQ48</f>
        <v>0</v>
      </c>
      <c r="Z48" s="26">
        <f aca="true" t="shared" si="39" ref="Z48:Z60">BD48</f>
        <v>0</v>
      </c>
      <c r="AA48" s="26">
        <f aca="true" t="shared" si="40" ref="AA48:AA60">SUM(L48:Z48)</f>
        <v>47293399.010000005</v>
      </c>
      <c r="AB48" s="27"/>
      <c r="AC48" s="28"/>
      <c r="AD48" s="29" t="s">
        <v>46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f aca="true" t="shared" si="41" ref="AQ48:AQ60">SUM(AE48:AP48)</f>
        <v>0</v>
      </c>
      <c r="AR48" s="27"/>
      <c r="AS48" s="28"/>
      <c r="AT48" s="29" t="s">
        <v>46</v>
      </c>
      <c r="AU48" s="26">
        <v>0</v>
      </c>
      <c r="AV48" s="26">
        <v>0</v>
      </c>
      <c r="AW48" s="26">
        <v>0</v>
      </c>
      <c r="AX48" s="26">
        <v>0</v>
      </c>
      <c r="AY48" s="26">
        <v>0</v>
      </c>
      <c r="AZ48" s="26">
        <v>0</v>
      </c>
      <c r="BA48" s="26">
        <v>0</v>
      </c>
      <c r="BB48" s="26">
        <v>0</v>
      </c>
      <c r="BC48" s="26">
        <v>0</v>
      </c>
      <c r="BD48" s="26">
        <f aca="true" t="shared" si="42" ref="BD48:BD60">SUM(AU48:BC48)</f>
        <v>0</v>
      </c>
      <c r="BE48" s="27"/>
      <c r="BF48" s="193"/>
      <c r="BG48" s="29" t="s">
        <v>46</v>
      </c>
      <c r="BH48" s="149">
        <v>302868.66</v>
      </c>
      <c r="BI48" s="26">
        <v>3933798</v>
      </c>
      <c r="BJ48" s="141">
        <v>0</v>
      </c>
      <c r="BK48" s="26"/>
      <c r="BL48" s="26">
        <v>0</v>
      </c>
      <c r="BM48" s="26">
        <f aca="true" t="shared" si="43" ref="BM48:BM60">SUM(BH48:BL48)</f>
        <v>4236666.66</v>
      </c>
      <c r="BN48" s="27"/>
      <c r="BO48" s="27"/>
      <c r="BQ48" s="37"/>
    </row>
    <row r="49" spans="1:69" ht="16.5" customHeight="1">
      <c r="A49" s="230" t="s">
        <v>47</v>
      </c>
      <c r="B49" s="29">
        <f>77724821+1.44-1+89015210+602448.92</f>
        <v>167342480.35999998</v>
      </c>
      <c r="C49" s="26">
        <f>AA49</f>
        <v>57352925.17000001</v>
      </c>
      <c r="D49" s="26">
        <f>BM49</f>
        <v>5967228.520000002</v>
      </c>
      <c r="E49" s="26">
        <f>SUM(B49:D49)</f>
        <v>230662634.05</v>
      </c>
      <c r="F49" s="26">
        <v>5020000</v>
      </c>
      <c r="G49" s="26">
        <v>0</v>
      </c>
      <c r="H49" s="26">
        <f>E49-F49+G49</f>
        <v>225642634.05</v>
      </c>
      <c r="I49" s="27"/>
      <c r="J49" s="27"/>
      <c r="K49" s="29" t="s">
        <v>47</v>
      </c>
      <c r="L49" s="26">
        <f>2807193+1</f>
        <v>2807194</v>
      </c>
      <c r="M49" s="26">
        <f>3092261+2</f>
        <v>3092263</v>
      </c>
      <c r="N49" s="26">
        <f>2589962+1+11</f>
        <v>2589974</v>
      </c>
      <c r="O49" s="26">
        <f>3042538-1</f>
        <v>3042537</v>
      </c>
      <c r="P49" s="149">
        <f>1835685-1-2</f>
        <v>1835682</v>
      </c>
      <c r="Q49" s="26">
        <f>16801+3-1</f>
        <v>16803</v>
      </c>
      <c r="R49" s="26">
        <f>39297835-0.05</f>
        <v>39297834.95</v>
      </c>
      <c r="S49" s="26">
        <f>11000+2886-0.32</f>
        <v>13885.68</v>
      </c>
      <c r="T49" s="26">
        <v>365194</v>
      </c>
      <c r="U49" s="26">
        <f>166962+66424.4+0.91</f>
        <v>233387.31</v>
      </c>
      <c r="V49" s="26">
        <f>3669304-2</f>
        <v>3669302</v>
      </c>
      <c r="W49" s="149">
        <f>2497.6-0.4</f>
        <v>2497.2</v>
      </c>
      <c r="X49" s="26">
        <f>225907-1</f>
        <v>225906</v>
      </c>
      <c r="Y49" s="26">
        <f t="shared" si="38"/>
        <v>134698.19999999998</v>
      </c>
      <c r="Z49" s="26">
        <f t="shared" si="39"/>
        <v>25766.829999999998</v>
      </c>
      <c r="AA49" s="26">
        <f>SUM(L49:Z49)</f>
        <v>57352925.17000001</v>
      </c>
      <c r="AB49" s="27"/>
      <c r="AC49" s="28"/>
      <c r="AD49" s="29" t="s">
        <v>47</v>
      </c>
      <c r="AE49" s="26">
        <f>12995.6+0.31</f>
        <v>12995.91</v>
      </c>
      <c r="AF49" s="26">
        <f>5581+0.3</f>
        <v>5581.3</v>
      </c>
      <c r="AG49" s="26">
        <f>1382.5-0.1</f>
        <v>1382.4</v>
      </c>
      <c r="AH49" s="26">
        <f>8182.5+0.2+879</f>
        <v>9061.7</v>
      </c>
      <c r="AI49" s="26">
        <v>4800</v>
      </c>
      <c r="AJ49" s="26">
        <v>4800</v>
      </c>
      <c r="AK49" s="26">
        <v>0</v>
      </c>
      <c r="AL49" s="26">
        <v>0</v>
      </c>
      <c r="AM49" s="26">
        <f>5850+3500</f>
        <v>9350</v>
      </c>
      <c r="AN49" s="26">
        <f>73533.87+0.41</f>
        <v>73534.28</v>
      </c>
      <c r="AO49" s="26">
        <f>8742.33+0.2-0.53</f>
        <v>8742</v>
      </c>
      <c r="AP49" s="26">
        <f>4450+0.61</f>
        <v>4450.61</v>
      </c>
      <c r="AQ49" s="26">
        <f>SUM(AE49:AP49)</f>
        <v>134698.19999999998</v>
      </c>
      <c r="AR49" s="27"/>
      <c r="AS49" s="28"/>
      <c r="AT49" s="29" t="s">
        <v>47</v>
      </c>
      <c r="AU49" s="26">
        <f>2182.5+0.47+1000</f>
        <v>3182.97</v>
      </c>
      <c r="AV49" s="26">
        <v>1682</v>
      </c>
      <c r="AW49" s="26">
        <v>2382.5</v>
      </c>
      <c r="AX49" s="26">
        <v>2000</v>
      </c>
      <c r="AY49" s="26">
        <f>3182.5+0.5</f>
        <v>3183</v>
      </c>
      <c r="AZ49" s="26">
        <v>3000</v>
      </c>
      <c r="BA49" s="26">
        <f>2183-0.15</f>
        <v>2182.85</v>
      </c>
      <c r="BB49" s="26">
        <f>1383-0.15</f>
        <v>1382.85</v>
      </c>
      <c r="BC49" s="26">
        <f>6771.16-0.5</f>
        <v>6770.66</v>
      </c>
      <c r="BD49" s="26">
        <f t="shared" si="42"/>
        <v>25766.829999999998</v>
      </c>
      <c r="BE49" s="27"/>
      <c r="BF49" s="193"/>
      <c r="BG49" s="29" t="s">
        <v>47</v>
      </c>
      <c r="BH49" s="149">
        <f>174752.75+1093487.05-0.36</f>
        <v>1268239.44</v>
      </c>
      <c r="BI49" s="26">
        <f>420070+1.27</f>
        <v>420071.27</v>
      </c>
      <c r="BJ49" s="149">
        <f>17083808.19-BJ100-0.34</f>
        <v>4278917.810000002</v>
      </c>
      <c r="BK49" s="26"/>
      <c r="BL49" s="26">
        <v>0</v>
      </c>
      <c r="BM49" s="26">
        <f>SUM(BH49:BL49)</f>
        <v>5967228.520000002</v>
      </c>
      <c r="BN49" s="27"/>
      <c r="BO49" s="27"/>
      <c r="BQ49" s="37"/>
    </row>
    <row r="50" spans="1:69" ht="16.5" customHeight="1">
      <c r="A50" s="230" t="s">
        <v>48</v>
      </c>
      <c r="B50" s="29">
        <f>368977281-89015210</f>
        <v>279962071</v>
      </c>
      <c r="C50" s="26">
        <f>AA50</f>
        <v>253233895.26</v>
      </c>
      <c r="D50" s="26">
        <f>BM50</f>
        <v>80648690.28999999</v>
      </c>
      <c r="E50" s="26">
        <f>SUM(B50:D50)</f>
        <v>613844656.55</v>
      </c>
      <c r="F50" s="26"/>
      <c r="G50" s="26"/>
      <c r="H50" s="26">
        <f>E50-F50+G50</f>
        <v>613844656.55</v>
      </c>
      <c r="I50" s="27"/>
      <c r="J50" s="27"/>
      <c r="K50" s="29" t="s">
        <v>48</v>
      </c>
      <c r="L50" s="26">
        <v>0</v>
      </c>
      <c r="M50" s="26">
        <v>0</v>
      </c>
      <c r="N50" s="26">
        <f>66200000+14883333</f>
        <v>81083333</v>
      </c>
      <c r="O50" s="26">
        <v>0</v>
      </c>
      <c r="P50" s="149">
        <v>0</v>
      </c>
      <c r="Q50" s="26">
        <v>0</v>
      </c>
      <c r="R50" s="26">
        <v>116694877</v>
      </c>
      <c r="S50" s="26">
        <v>0</v>
      </c>
      <c r="T50" s="26">
        <v>0</v>
      </c>
      <c r="U50" s="26">
        <v>0</v>
      </c>
      <c r="V50" s="26">
        <v>53091489</v>
      </c>
      <c r="W50" s="149">
        <v>0</v>
      </c>
      <c r="X50" s="26">
        <v>0</v>
      </c>
      <c r="Y50" s="26">
        <f>AQ50</f>
        <v>2364196.26</v>
      </c>
      <c r="Z50" s="26">
        <f t="shared" si="39"/>
        <v>0</v>
      </c>
      <c r="AA50" s="26">
        <f t="shared" si="40"/>
        <v>253233895.26</v>
      </c>
      <c r="AB50" s="27"/>
      <c r="AC50" s="28"/>
      <c r="AD50" s="29" t="s">
        <v>48</v>
      </c>
      <c r="AE50" s="26">
        <v>0</v>
      </c>
      <c r="AF50" s="26">
        <v>0</v>
      </c>
      <c r="AG50" s="26">
        <v>0</v>
      </c>
      <c r="AH50" s="26">
        <v>2364196.26</v>
      </c>
      <c r="AI50" s="26">
        <v>0</v>
      </c>
      <c r="AJ50" s="26">
        <v>0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0</v>
      </c>
      <c r="AQ50" s="26">
        <f t="shared" si="41"/>
        <v>2364196.26</v>
      </c>
      <c r="AR50" s="27"/>
      <c r="AS50" s="28"/>
      <c r="AT50" s="29" t="s">
        <v>48</v>
      </c>
      <c r="AU50" s="26">
        <v>0</v>
      </c>
      <c r="AV50" s="26"/>
      <c r="AW50" s="26">
        <v>0</v>
      </c>
      <c r="AX50" s="26">
        <v>0</v>
      </c>
      <c r="AY50" s="26">
        <v>0</v>
      </c>
      <c r="AZ50" s="26">
        <v>0</v>
      </c>
      <c r="BA50" s="26">
        <v>0</v>
      </c>
      <c r="BB50" s="26">
        <v>0</v>
      </c>
      <c r="BC50" s="26">
        <v>0</v>
      </c>
      <c r="BD50" s="26">
        <f t="shared" si="42"/>
        <v>0</v>
      </c>
      <c r="BE50" s="27"/>
      <c r="BF50" s="193"/>
      <c r="BG50" s="29" t="s">
        <v>48</v>
      </c>
      <c r="BH50" s="149">
        <f>154462+22500</f>
        <v>176962</v>
      </c>
      <c r="BI50" s="26">
        <f>122862+181015</f>
        <v>303877</v>
      </c>
      <c r="BJ50" s="141">
        <f>67362961.25+BJ100</f>
        <v>80167851.28999999</v>
      </c>
      <c r="BK50" s="26"/>
      <c r="BL50" s="26">
        <v>0</v>
      </c>
      <c r="BM50" s="26">
        <f>SUM(BH50:BL50)</f>
        <v>80648690.28999999</v>
      </c>
      <c r="BN50" s="27"/>
      <c r="BO50" s="27"/>
      <c r="BQ50" s="37"/>
    </row>
    <row r="51" spans="1:67" ht="16.5" customHeight="1">
      <c r="A51" s="230" t="s">
        <v>49</v>
      </c>
      <c r="B51" s="29">
        <v>0</v>
      </c>
      <c r="C51" s="26">
        <f t="shared" si="34"/>
        <v>421980</v>
      </c>
      <c r="D51" s="26">
        <f t="shared" si="35"/>
        <v>40386</v>
      </c>
      <c r="E51" s="26">
        <f t="shared" si="36"/>
        <v>462366</v>
      </c>
      <c r="F51" s="30"/>
      <c r="G51" s="30"/>
      <c r="H51" s="26">
        <f t="shared" si="37"/>
        <v>462366</v>
      </c>
      <c r="I51" s="27"/>
      <c r="J51" s="27"/>
      <c r="K51" s="29" t="s">
        <v>49</v>
      </c>
      <c r="L51" s="26">
        <v>0</v>
      </c>
      <c r="M51" s="26">
        <v>25344</v>
      </c>
      <c r="N51" s="26"/>
      <c r="O51" s="26">
        <v>0</v>
      </c>
      <c r="P51" s="149">
        <v>0</v>
      </c>
      <c r="Q51" s="26">
        <v>0</v>
      </c>
      <c r="R51" s="26">
        <v>67700</v>
      </c>
      <c r="S51" s="26">
        <v>0</v>
      </c>
      <c r="T51" s="26">
        <v>0</v>
      </c>
      <c r="U51" s="26">
        <v>4900</v>
      </c>
      <c r="V51" s="26">
        <v>324036</v>
      </c>
      <c r="W51" s="149">
        <v>0</v>
      </c>
      <c r="X51" s="26">
        <v>0</v>
      </c>
      <c r="Y51" s="26">
        <f t="shared" si="38"/>
        <v>0</v>
      </c>
      <c r="Z51" s="26">
        <f t="shared" si="39"/>
        <v>0</v>
      </c>
      <c r="AA51" s="26">
        <f t="shared" si="40"/>
        <v>421980</v>
      </c>
      <c r="AB51" s="27"/>
      <c r="AC51" s="28"/>
      <c r="AD51" s="29" t="s">
        <v>49</v>
      </c>
      <c r="AE51" s="26">
        <v>0</v>
      </c>
      <c r="AF51" s="26">
        <v>0</v>
      </c>
      <c r="AG51" s="26">
        <v>0</v>
      </c>
      <c r="AH51" s="26">
        <v>0</v>
      </c>
      <c r="AI51" s="26"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f t="shared" si="41"/>
        <v>0</v>
      </c>
      <c r="AR51" s="27"/>
      <c r="AS51" s="28"/>
      <c r="AT51" s="29" t="s">
        <v>49</v>
      </c>
      <c r="AU51" s="26">
        <v>0</v>
      </c>
      <c r="AV51" s="26">
        <v>0</v>
      </c>
      <c r="AW51" s="26">
        <v>0</v>
      </c>
      <c r="AX51" s="26">
        <v>0</v>
      </c>
      <c r="AY51" s="26">
        <v>0</v>
      </c>
      <c r="AZ51" s="26">
        <v>0</v>
      </c>
      <c r="BA51" s="26">
        <v>0</v>
      </c>
      <c r="BB51" s="26">
        <v>0</v>
      </c>
      <c r="BC51" s="26">
        <v>0</v>
      </c>
      <c r="BD51" s="26">
        <f t="shared" si="42"/>
        <v>0</v>
      </c>
      <c r="BE51" s="27"/>
      <c r="BF51" s="193"/>
      <c r="BG51" s="29" t="s">
        <v>49</v>
      </c>
      <c r="BH51" s="149">
        <f>40386</f>
        <v>40386</v>
      </c>
      <c r="BI51" s="26">
        <v>0</v>
      </c>
      <c r="BJ51" s="141">
        <v>0</v>
      </c>
      <c r="BK51" s="26"/>
      <c r="BL51" s="26">
        <v>0</v>
      </c>
      <c r="BM51" s="26">
        <f t="shared" si="43"/>
        <v>40386</v>
      </c>
      <c r="BN51" s="27"/>
      <c r="BO51" s="27"/>
    </row>
    <row r="52" spans="1:69" ht="16.5" customHeight="1">
      <c r="A52" s="230" t="s">
        <v>148</v>
      </c>
      <c r="B52" s="29">
        <v>0</v>
      </c>
      <c r="C52" s="26">
        <f t="shared" si="34"/>
        <v>515013304.89</v>
      </c>
      <c r="D52" s="26">
        <f t="shared" si="35"/>
        <v>20636100.98</v>
      </c>
      <c r="E52" s="26">
        <f t="shared" si="36"/>
        <v>535649405.87</v>
      </c>
      <c r="F52" s="26">
        <v>535649405.87</v>
      </c>
      <c r="G52" s="26"/>
      <c r="H52" s="26">
        <f t="shared" si="37"/>
        <v>0</v>
      </c>
      <c r="I52" s="27"/>
      <c r="J52" s="27"/>
      <c r="K52" s="29" t="s">
        <v>51</v>
      </c>
      <c r="L52" s="26">
        <v>-8009293</v>
      </c>
      <c r="M52" s="26">
        <v>130251654</v>
      </c>
      <c r="N52" s="169">
        <v>2749982</v>
      </c>
      <c r="O52" s="30">
        <v>15020081</v>
      </c>
      <c r="P52" s="149">
        <v>8149538</v>
      </c>
      <c r="Q52" s="26">
        <v>1641659</v>
      </c>
      <c r="R52" s="26">
        <v>171233789</v>
      </c>
      <c r="S52" s="26">
        <f>1477116.14+7459.2</f>
        <v>1484575.3399999999</v>
      </c>
      <c r="T52" s="169">
        <f>1400377+4892762</f>
        <v>6293139</v>
      </c>
      <c r="U52" s="26">
        <v>0</v>
      </c>
      <c r="V52" s="26">
        <v>96163766</v>
      </c>
      <c r="W52" s="149">
        <v>39305741.8</v>
      </c>
      <c r="X52" s="26">
        <v>0</v>
      </c>
      <c r="Y52" s="26">
        <f t="shared" si="38"/>
        <v>43170671.739999995</v>
      </c>
      <c r="Z52" s="26">
        <f t="shared" si="39"/>
        <v>7558001.010000001</v>
      </c>
      <c r="AA52" s="26">
        <f t="shared" si="40"/>
        <v>515013304.89</v>
      </c>
      <c r="AB52" s="27"/>
      <c r="AC52" s="28"/>
      <c r="AD52" s="29" t="s">
        <v>51</v>
      </c>
      <c r="AE52" s="26">
        <v>145834</v>
      </c>
      <c r="AF52" s="26">
        <v>8241.9</v>
      </c>
      <c r="AG52" s="26">
        <v>14020789.35</v>
      </c>
      <c r="AH52" s="26">
        <v>5649150.7</v>
      </c>
      <c r="AI52" s="30">
        <v>0</v>
      </c>
      <c r="AJ52" s="26">
        <v>0</v>
      </c>
      <c r="AK52" s="26">
        <f>10642.5-0.12</f>
        <v>10642.38</v>
      </c>
      <c r="AL52" s="26">
        <v>10642.5</v>
      </c>
      <c r="AM52" s="26">
        <v>1109505.3</v>
      </c>
      <c r="AN52" s="26">
        <v>4169798</v>
      </c>
      <c r="AO52" s="26">
        <v>1152897</v>
      </c>
      <c r="AP52" s="26">
        <v>16893170.61</v>
      </c>
      <c r="AQ52" s="26">
        <f t="shared" si="41"/>
        <v>43170671.739999995</v>
      </c>
      <c r="AR52" s="27"/>
      <c r="AS52" s="28"/>
      <c r="AT52" s="29" t="s">
        <v>51</v>
      </c>
      <c r="AU52" s="26">
        <v>5398872.91</v>
      </c>
      <c r="AV52" s="26">
        <v>0</v>
      </c>
      <c r="AW52" s="26">
        <v>1509081.2</v>
      </c>
      <c r="AX52" s="26">
        <v>8460.9</v>
      </c>
      <c r="AY52" s="30">
        <v>37217</v>
      </c>
      <c r="AZ52" s="26">
        <v>592591</v>
      </c>
      <c r="BA52" s="26">
        <v>5289</v>
      </c>
      <c r="BB52" s="26">
        <v>6489</v>
      </c>
      <c r="BC52" s="26">
        <v>0</v>
      </c>
      <c r="BD52" s="26">
        <f t="shared" si="42"/>
        <v>7558001.010000001</v>
      </c>
      <c r="BE52" s="27"/>
      <c r="BF52" s="193"/>
      <c r="BG52" s="29" t="s">
        <v>51</v>
      </c>
      <c r="BH52" s="149">
        <f>4074299.36+205000</f>
        <v>4279299.359999999</v>
      </c>
      <c r="BI52" s="26">
        <v>2748241.73</v>
      </c>
      <c r="BJ52" s="141">
        <v>13608559.89</v>
      </c>
      <c r="BK52" s="26"/>
      <c r="BL52" s="26">
        <v>0</v>
      </c>
      <c r="BM52" s="26">
        <f t="shared" si="43"/>
        <v>20636100.98</v>
      </c>
      <c r="BN52" s="27"/>
      <c r="BO52" s="27"/>
      <c r="BQ52" s="37"/>
    </row>
    <row r="53" spans="1:69" ht="16.5" customHeight="1">
      <c r="A53" s="230" t="s">
        <v>149</v>
      </c>
      <c r="B53" s="29">
        <v>0</v>
      </c>
      <c r="C53" s="26">
        <f>AA53</f>
        <v>0</v>
      </c>
      <c r="D53" s="26">
        <f>BM53</f>
        <v>0</v>
      </c>
      <c r="E53" s="26">
        <f t="shared" si="36"/>
        <v>0</v>
      </c>
      <c r="F53" s="26"/>
      <c r="G53" s="26"/>
      <c r="H53" s="26">
        <f t="shared" si="37"/>
        <v>0</v>
      </c>
      <c r="I53" s="27"/>
      <c r="J53" s="27"/>
      <c r="K53" s="29" t="s">
        <v>148</v>
      </c>
      <c r="L53" s="26"/>
      <c r="M53" s="26"/>
      <c r="N53" s="26">
        <v>0</v>
      </c>
      <c r="O53" s="30"/>
      <c r="P53" s="149"/>
      <c r="Q53" s="26"/>
      <c r="R53" s="26">
        <v>0</v>
      </c>
      <c r="S53" s="26"/>
      <c r="T53" s="169">
        <v>0</v>
      </c>
      <c r="U53" s="26"/>
      <c r="V53" s="26">
        <v>0</v>
      </c>
      <c r="W53" s="149"/>
      <c r="X53" s="26"/>
      <c r="Y53" s="26">
        <f>AQ53</f>
        <v>0</v>
      </c>
      <c r="Z53" s="26">
        <f>BD53</f>
        <v>0</v>
      </c>
      <c r="AA53" s="26">
        <f t="shared" si="40"/>
        <v>0</v>
      </c>
      <c r="AB53" s="27"/>
      <c r="AC53" s="28"/>
      <c r="AD53" s="29" t="s">
        <v>148</v>
      </c>
      <c r="AE53" s="26">
        <f>145834-145834</f>
        <v>0</v>
      </c>
      <c r="AF53" s="26"/>
      <c r="AG53" s="26"/>
      <c r="AH53" s="26"/>
      <c r="AI53" s="30"/>
      <c r="AJ53" s="26"/>
      <c r="AK53" s="26"/>
      <c r="AL53" s="26"/>
      <c r="AM53" s="26"/>
      <c r="AN53" s="26">
        <f>4169798.41-4169798.41</f>
        <v>0</v>
      </c>
      <c r="AO53" s="26">
        <f>1152897.2-1152897.2</f>
        <v>0</v>
      </c>
      <c r="AP53" s="26"/>
      <c r="AQ53" s="26">
        <f t="shared" si="41"/>
        <v>0</v>
      </c>
      <c r="AR53" s="27"/>
      <c r="AS53" s="28"/>
      <c r="AT53" s="29" t="s">
        <v>148</v>
      </c>
      <c r="AU53" s="26"/>
      <c r="AV53" s="26">
        <v>0</v>
      </c>
      <c r="AW53" s="26"/>
      <c r="AX53" s="26"/>
      <c r="AY53" s="30"/>
      <c r="AZ53" s="26"/>
      <c r="BA53" s="26"/>
      <c r="BB53" s="26"/>
      <c r="BC53" s="26"/>
      <c r="BD53" s="26">
        <f t="shared" si="42"/>
        <v>0</v>
      </c>
      <c r="BE53" s="27"/>
      <c r="BF53" s="193"/>
      <c r="BG53" s="29" t="s">
        <v>148</v>
      </c>
      <c r="BH53" s="149">
        <v>0</v>
      </c>
      <c r="BI53" s="26"/>
      <c r="BJ53" s="141">
        <f>13608560-13608560</f>
        <v>0</v>
      </c>
      <c r="BK53" s="26"/>
      <c r="BL53" s="26"/>
      <c r="BM53" s="26">
        <f t="shared" si="43"/>
        <v>0</v>
      </c>
      <c r="BN53" s="27"/>
      <c r="BO53" s="27"/>
      <c r="BQ53" s="37"/>
    </row>
    <row r="54" spans="1:67" ht="16.5" customHeight="1">
      <c r="A54" s="230" t="s">
        <v>52</v>
      </c>
      <c r="B54" s="29">
        <v>0</v>
      </c>
      <c r="C54" s="26">
        <f t="shared" si="34"/>
        <v>0</v>
      </c>
      <c r="D54" s="26">
        <f t="shared" si="35"/>
        <v>0</v>
      </c>
      <c r="E54" s="26">
        <f t="shared" si="36"/>
        <v>0</v>
      </c>
      <c r="F54" s="26">
        <v>0</v>
      </c>
      <c r="G54" s="26"/>
      <c r="H54" s="26">
        <f t="shared" si="37"/>
        <v>0</v>
      </c>
      <c r="I54" s="27"/>
      <c r="J54" s="27"/>
      <c r="K54" s="29" t="s">
        <v>52</v>
      </c>
      <c r="L54" s="26">
        <v>0</v>
      </c>
      <c r="M54" s="26">
        <v>0</v>
      </c>
      <c r="N54" s="26">
        <v>0</v>
      </c>
      <c r="O54" s="26">
        <v>0</v>
      </c>
      <c r="P54" s="149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f>7399454-7399454</f>
        <v>0</v>
      </c>
      <c r="W54" s="149">
        <v>0</v>
      </c>
      <c r="X54" s="26">
        <v>0</v>
      </c>
      <c r="Y54" s="26">
        <f t="shared" si="38"/>
        <v>0</v>
      </c>
      <c r="Z54" s="26">
        <f t="shared" si="39"/>
        <v>0</v>
      </c>
      <c r="AA54" s="26">
        <f t="shared" si="40"/>
        <v>0</v>
      </c>
      <c r="AB54" s="27"/>
      <c r="AC54" s="28"/>
      <c r="AD54" s="29" t="s">
        <v>52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f t="shared" si="41"/>
        <v>0</v>
      </c>
      <c r="AR54" s="27"/>
      <c r="AS54" s="28"/>
      <c r="AT54" s="29" t="s">
        <v>52</v>
      </c>
      <c r="AU54" s="26">
        <v>0</v>
      </c>
      <c r="AV54" s="26">
        <v>0</v>
      </c>
      <c r="AW54" s="26">
        <v>0</v>
      </c>
      <c r="AX54" s="26">
        <v>0</v>
      </c>
      <c r="AY54" s="26">
        <v>0</v>
      </c>
      <c r="AZ54" s="26">
        <v>0</v>
      </c>
      <c r="BA54" s="26">
        <v>0</v>
      </c>
      <c r="BB54" s="26">
        <v>0</v>
      </c>
      <c r="BC54" s="26">
        <v>0</v>
      </c>
      <c r="BD54" s="26">
        <f t="shared" si="42"/>
        <v>0</v>
      </c>
      <c r="BE54" s="27"/>
      <c r="BF54" s="193"/>
      <c r="BG54" s="29" t="s">
        <v>52</v>
      </c>
      <c r="BH54" s="149">
        <v>0</v>
      </c>
      <c r="BI54" s="26">
        <v>0</v>
      </c>
      <c r="BJ54" s="141">
        <v>0</v>
      </c>
      <c r="BK54" s="26"/>
      <c r="BL54" s="26">
        <v>0</v>
      </c>
      <c r="BM54" s="26">
        <f t="shared" si="43"/>
        <v>0</v>
      </c>
      <c r="BN54" s="27"/>
      <c r="BO54" s="27"/>
    </row>
    <row r="55" spans="1:69" ht="16.5" customHeight="1">
      <c r="A55" s="230" t="s">
        <v>53</v>
      </c>
      <c r="B55" s="29">
        <v>0</v>
      </c>
      <c r="C55" s="26">
        <f t="shared" si="34"/>
        <v>9010105.350000001</v>
      </c>
      <c r="D55" s="26">
        <f t="shared" si="35"/>
        <v>18221.1</v>
      </c>
      <c r="E55" s="26">
        <f t="shared" si="36"/>
        <v>9028326.450000001</v>
      </c>
      <c r="F55" s="26">
        <v>9028326.450000001</v>
      </c>
      <c r="G55" s="26"/>
      <c r="H55" s="26">
        <f t="shared" si="37"/>
        <v>0</v>
      </c>
      <c r="I55" s="27"/>
      <c r="J55" s="27"/>
      <c r="K55" s="29" t="s">
        <v>53</v>
      </c>
      <c r="L55" s="26">
        <v>0</v>
      </c>
      <c r="M55" s="26">
        <v>0</v>
      </c>
      <c r="N55" s="26">
        <v>0</v>
      </c>
      <c r="O55" s="30">
        <v>11960</v>
      </c>
      <c r="P55" s="149">
        <v>1050252</v>
      </c>
      <c r="Q55" s="26">
        <v>1001972</v>
      </c>
      <c r="R55" s="26">
        <f>28026+6835575.05</f>
        <v>6863601.05</v>
      </c>
      <c r="S55" s="26">
        <v>0</v>
      </c>
      <c r="T55" s="26">
        <v>0</v>
      </c>
      <c r="U55" s="26">
        <v>0</v>
      </c>
      <c r="V55" s="26">
        <v>0</v>
      </c>
      <c r="W55" s="149">
        <v>0</v>
      </c>
      <c r="X55" s="26">
        <v>60000</v>
      </c>
      <c r="Y55" s="26">
        <f t="shared" si="38"/>
        <v>22320.3</v>
      </c>
      <c r="Z55" s="26">
        <f t="shared" si="39"/>
        <v>0</v>
      </c>
      <c r="AA55" s="26">
        <f t="shared" si="40"/>
        <v>9010105.350000001</v>
      </c>
      <c r="AB55" s="27"/>
      <c r="AC55" s="28"/>
      <c r="AD55" s="29" t="s">
        <v>53</v>
      </c>
      <c r="AE55" s="26">
        <v>0</v>
      </c>
      <c r="AF55" s="26">
        <v>0</v>
      </c>
      <c r="AG55" s="26">
        <v>0</v>
      </c>
      <c r="AH55" s="26">
        <v>0</v>
      </c>
      <c r="AI55" s="30">
        <v>0</v>
      </c>
      <c r="AJ55" s="26">
        <v>0</v>
      </c>
      <c r="AK55" s="26">
        <v>0</v>
      </c>
      <c r="AL55" s="26">
        <v>0</v>
      </c>
      <c r="AM55" s="26">
        <v>22320.3</v>
      </c>
      <c r="AN55" s="26">
        <v>0</v>
      </c>
      <c r="AO55" s="26">
        <v>0</v>
      </c>
      <c r="AP55" s="26">
        <v>0</v>
      </c>
      <c r="AQ55" s="26">
        <f t="shared" si="41"/>
        <v>22320.3</v>
      </c>
      <c r="AR55" s="27"/>
      <c r="AS55" s="28"/>
      <c r="AT55" s="29" t="s">
        <v>53</v>
      </c>
      <c r="AU55" s="26">
        <v>0</v>
      </c>
      <c r="AV55" s="26">
        <v>0</v>
      </c>
      <c r="AW55" s="26">
        <v>0</v>
      </c>
      <c r="AX55" s="26">
        <v>0</v>
      </c>
      <c r="AY55" s="30">
        <v>0</v>
      </c>
      <c r="AZ55" s="26">
        <v>0</v>
      </c>
      <c r="BA55" s="26">
        <v>0</v>
      </c>
      <c r="BB55" s="26">
        <v>0</v>
      </c>
      <c r="BC55" s="26">
        <v>0</v>
      </c>
      <c r="BD55" s="26">
        <f t="shared" si="42"/>
        <v>0</v>
      </c>
      <c r="BE55" s="27"/>
      <c r="BF55" s="193"/>
      <c r="BG55" s="29" t="s">
        <v>53</v>
      </c>
      <c r="BH55" s="149">
        <v>18221.1</v>
      </c>
      <c r="BI55" s="26">
        <v>0</v>
      </c>
      <c r="BJ55" s="141">
        <v>0</v>
      </c>
      <c r="BK55" s="26"/>
      <c r="BL55" s="26">
        <v>0</v>
      </c>
      <c r="BM55" s="26">
        <f t="shared" si="43"/>
        <v>18221.1</v>
      </c>
      <c r="BN55" s="27"/>
      <c r="BO55" s="27"/>
      <c r="BQ55" s="37"/>
    </row>
    <row r="56" spans="1:67" ht="16.5" customHeight="1">
      <c r="A56" s="230" t="s">
        <v>54</v>
      </c>
      <c r="B56" s="29">
        <v>0</v>
      </c>
      <c r="C56" s="26">
        <f t="shared" si="34"/>
        <v>0</v>
      </c>
      <c r="D56" s="26">
        <f t="shared" si="35"/>
        <v>630519</v>
      </c>
      <c r="E56" s="26">
        <f t="shared" si="36"/>
        <v>630519</v>
      </c>
      <c r="F56" s="26">
        <v>0</v>
      </c>
      <c r="G56" s="26">
        <v>0</v>
      </c>
      <c r="H56" s="26">
        <f t="shared" si="37"/>
        <v>630519</v>
      </c>
      <c r="I56" s="27"/>
      <c r="J56" s="27"/>
      <c r="K56" s="29" t="s">
        <v>54</v>
      </c>
      <c r="L56" s="26">
        <v>0</v>
      </c>
      <c r="M56" s="26">
        <v>0</v>
      </c>
      <c r="N56" s="26">
        <v>0</v>
      </c>
      <c r="O56" s="30">
        <v>0</v>
      </c>
      <c r="P56" s="149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149">
        <v>0</v>
      </c>
      <c r="X56" s="26">
        <v>0</v>
      </c>
      <c r="Y56" s="26">
        <f t="shared" si="38"/>
        <v>0</v>
      </c>
      <c r="Z56" s="26">
        <f t="shared" si="39"/>
        <v>0</v>
      </c>
      <c r="AA56" s="26">
        <f t="shared" si="40"/>
        <v>0</v>
      </c>
      <c r="AB56" s="27"/>
      <c r="AC56" s="28"/>
      <c r="AD56" s="29" t="s">
        <v>54</v>
      </c>
      <c r="AE56" s="26">
        <v>0</v>
      </c>
      <c r="AF56" s="26">
        <v>0</v>
      </c>
      <c r="AG56" s="26">
        <v>0</v>
      </c>
      <c r="AH56" s="26">
        <v>0</v>
      </c>
      <c r="AI56" s="30"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f t="shared" si="41"/>
        <v>0</v>
      </c>
      <c r="AR56" s="27"/>
      <c r="AS56" s="28"/>
      <c r="AT56" s="29" t="s">
        <v>54</v>
      </c>
      <c r="AU56" s="26">
        <v>0</v>
      </c>
      <c r="AV56" s="26">
        <v>0</v>
      </c>
      <c r="AW56" s="26">
        <v>0</v>
      </c>
      <c r="AX56" s="26">
        <v>0</v>
      </c>
      <c r="AY56" s="30">
        <v>0</v>
      </c>
      <c r="AZ56" s="26">
        <v>0</v>
      </c>
      <c r="BA56" s="26">
        <v>0</v>
      </c>
      <c r="BB56" s="26">
        <v>0</v>
      </c>
      <c r="BC56" s="26">
        <v>0</v>
      </c>
      <c r="BD56" s="26">
        <f t="shared" si="42"/>
        <v>0</v>
      </c>
      <c r="BE56" s="27"/>
      <c r="BF56" s="193"/>
      <c r="BG56" s="29" t="s">
        <v>54</v>
      </c>
      <c r="BH56" s="149">
        <v>0</v>
      </c>
      <c r="BI56" s="26">
        <f>559907+70612</f>
        <v>630519</v>
      </c>
      <c r="BJ56" s="141">
        <v>0</v>
      </c>
      <c r="BK56" s="26"/>
      <c r="BL56" s="26">
        <v>0</v>
      </c>
      <c r="BM56" s="26">
        <f t="shared" si="43"/>
        <v>630519</v>
      </c>
      <c r="BN56" s="27"/>
      <c r="BO56" s="27"/>
    </row>
    <row r="57" spans="1:67" ht="16.5" customHeight="1">
      <c r="A57" s="230" t="s">
        <v>55</v>
      </c>
      <c r="B57" s="29">
        <v>0</v>
      </c>
      <c r="C57" s="26">
        <f>AA57</f>
        <v>8223</v>
      </c>
      <c r="D57" s="26">
        <f>BM57</f>
        <v>152446.84</v>
      </c>
      <c r="E57" s="26">
        <f>SUM(B57:D57)</f>
        <v>160669.84</v>
      </c>
      <c r="F57" s="30"/>
      <c r="G57" s="30"/>
      <c r="H57" s="26">
        <f>E57-F57+G57</f>
        <v>160669.84</v>
      </c>
      <c r="I57" s="27"/>
      <c r="J57" s="27"/>
      <c r="K57" s="29" t="s">
        <v>55</v>
      </c>
      <c r="L57" s="26">
        <v>0</v>
      </c>
      <c r="M57" s="26">
        <v>0</v>
      </c>
      <c r="N57" s="26">
        <v>0</v>
      </c>
      <c r="O57" s="26">
        <v>0</v>
      </c>
      <c r="P57" s="149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149">
        <v>0</v>
      </c>
      <c r="X57" s="26">
        <v>0</v>
      </c>
      <c r="Y57" s="26">
        <f t="shared" si="38"/>
        <v>0</v>
      </c>
      <c r="Z57" s="26">
        <f t="shared" si="39"/>
        <v>8223</v>
      </c>
      <c r="AA57" s="26">
        <f t="shared" si="40"/>
        <v>8223</v>
      </c>
      <c r="AB57" s="27"/>
      <c r="AC57" s="28"/>
      <c r="AD57" s="29" t="s">
        <v>55</v>
      </c>
      <c r="AE57" s="26">
        <v>0</v>
      </c>
      <c r="AF57" s="26">
        <v>0</v>
      </c>
      <c r="AG57" s="26">
        <v>0</v>
      </c>
      <c r="AH57" s="30">
        <v>0</v>
      </c>
      <c r="AI57" s="26">
        <v>0</v>
      </c>
      <c r="AJ57" s="26">
        <v>0</v>
      </c>
      <c r="AK57" s="26">
        <v>0</v>
      </c>
      <c r="AL57" s="26">
        <v>0</v>
      </c>
      <c r="AM57" s="30">
        <v>0</v>
      </c>
      <c r="AN57" s="26">
        <v>0</v>
      </c>
      <c r="AO57" s="26">
        <v>0</v>
      </c>
      <c r="AP57" s="26">
        <v>0</v>
      </c>
      <c r="AQ57" s="26">
        <f t="shared" si="41"/>
        <v>0</v>
      </c>
      <c r="AR57" s="27"/>
      <c r="AS57" s="28"/>
      <c r="AT57" s="29" t="s">
        <v>55</v>
      </c>
      <c r="AU57" s="26">
        <v>0</v>
      </c>
      <c r="AV57" s="26">
        <v>8223</v>
      </c>
      <c r="AW57" s="26">
        <v>0</v>
      </c>
      <c r="AX57" s="30">
        <v>0</v>
      </c>
      <c r="AY57" s="26">
        <v>0</v>
      </c>
      <c r="AZ57" s="26">
        <v>0</v>
      </c>
      <c r="BA57" s="26">
        <v>0</v>
      </c>
      <c r="BB57" s="26">
        <v>0</v>
      </c>
      <c r="BC57" s="26">
        <v>0</v>
      </c>
      <c r="BD57" s="26">
        <f t="shared" si="42"/>
        <v>8223</v>
      </c>
      <c r="BE57" s="27"/>
      <c r="BF57" s="193"/>
      <c r="BG57" s="29" t="s">
        <v>55</v>
      </c>
      <c r="BH57" s="149">
        <v>152446.84</v>
      </c>
      <c r="BI57" s="26">
        <v>0</v>
      </c>
      <c r="BJ57" s="141">
        <v>0</v>
      </c>
      <c r="BK57" s="26"/>
      <c r="BL57" s="26">
        <v>0</v>
      </c>
      <c r="BM57" s="26">
        <f>SUM(BH57:BL57)</f>
        <v>152446.84</v>
      </c>
      <c r="BN57" s="27"/>
      <c r="BO57" s="27"/>
    </row>
    <row r="58" spans="1:67" ht="16.5" customHeight="1">
      <c r="A58" s="230" t="s">
        <v>56</v>
      </c>
      <c r="B58" s="29">
        <v>1705667.22</v>
      </c>
      <c r="C58" s="26">
        <f>AA58</f>
        <v>14840916.260000002</v>
      </c>
      <c r="D58" s="26">
        <f t="shared" si="35"/>
        <v>4407</v>
      </c>
      <c r="E58" s="26">
        <f t="shared" si="36"/>
        <v>16550990.480000002</v>
      </c>
      <c r="F58" s="26">
        <v>0</v>
      </c>
      <c r="G58" s="26">
        <v>0</v>
      </c>
      <c r="H58" s="26">
        <f t="shared" si="37"/>
        <v>16550990.480000002</v>
      </c>
      <c r="I58" s="27"/>
      <c r="J58" s="27"/>
      <c r="K58" s="29" t="s">
        <v>56</v>
      </c>
      <c r="L58" s="26">
        <f>1369655+816863+0.04</f>
        <v>2186518.04</v>
      </c>
      <c r="M58" s="26">
        <f>1404066+1206254.28</f>
        <v>2610320.2800000003</v>
      </c>
      <c r="N58" s="26">
        <v>7630</v>
      </c>
      <c r="O58" s="26">
        <v>9450</v>
      </c>
      <c r="P58" s="149">
        <v>88726.4</v>
      </c>
      <c r="Q58" s="26">
        <v>1496</v>
      </c>
      <c r="R58" s="26">
        <v>5738000</v>
      </c>
      <c r="S58" s="26">
        <v>4219</v>
      </c>
      <c r="T58" s="26">
        <v>0</v>
      </c>
      <c r="U58" s="26">
        <v>432999.8</v>
      </c>
      <c r="V58" s="26">
        <v>3746249</v>
      </c>
      <c r="W58" s="149">
        <v>0</v>
      </c>
      <c r="X58" s="26">
        <f>'Con P&amp;L'!Y23</f>
        <v>0</v>
      </c>
      <c r="Y58" s="26">
        <f t="shared" si="38"/>
        <v>15234.74</v>
      </c>
      <c r="Z58" s="26">
        <f t="shared" si="39"/>
        <v>73</v>
      </c>
      <c r="AA58" s="26">
        <f t="shared" si="40"/>
        <v>14840916.260000002</v>
      </c>
      <c r="AB58" s="27"/>
      <c r="AC58" s="28"/>
      <c r="AD58" s="29" t="s">
        <v>56</v>
      </c>
      <c r="AE58" s="26">
        <v>0</v>
      </c>
      <c r="AF58" s="26">
        <v>0</v>
      </c>
      <c r="AG58" s="26">
        <v>0</v>
      </c>
      <c r="AH58" s="26">
        <v>0</v>
      </c>
      <c r="AI58" s="26">
        <v>0</v>
      </c>
      <c r="AJ58" s="26">
        <v>0</v>
      </c>
      <c r="AK58" s="26">
        <v>0</v>
      </c>
      <c r="AL58" s="26">
        <v>0</v>
      </c>
      <c r="AM58" s="26">
        <v>0</v>
      </c>
      <c r="AN58" s="26">
        <v>15234.74</v>
      </c>
      <c r="AO58" s="26">
        <v>0</v>
      </c>
      <c r="AP58" s="26">
        <v>0</v>
      </c>
      <c r="AQ58" s="26">
        <f t="shared" si="41"/>
        <v>15234.74</v>
      </c>
      <c r="AR58" s="27"/>
      <c r="AS58" s="28"/>
      <c r="AT58" s="29" t="s">
        <v>56</v>
      </c>
      <c r="AU58" s="26">
        <v>0</v>
      </c>
      <c r="AV58" s="26">
        <v>0</v>
      </c>
      <c r="AW58" s="26">
        <v>0</v>
      </c>
      <c r="AX58" s="26">
        <v>0</v>
      </c>
      <c r="AY58" s="26">
        <v>0</v>
      </c>
      <c r="AZ58" s="26">
        <v>0</v>
      </c>
      <c r="BA58" s="26">
        <v>0</v>
      </c>
      <c r="BB58" s="26">
        <v>0</v>
      </c>
      <c r="BC58" s="26">
        <v>73</v>
      </c>
      <c r="BD58" s="26">
        <f t="shared" si="42"/>
        <v>73</v>
      </c>
      <c r="BE58" s="27"/>
      <c r="BF58" s="193"/>
      <c r="BG58" s="29" t="s">
        <v>56</v>
      </c>
      <c r="BH58" s="149">
        <v>0</v>
      </c>
      <c r="BI58" s="26">
        <v>2140</v>
      </c>
      <c r="BJ58" s="141">
        <v>2267</v>
      </c>
      <c r="BK58" s="26"/>
      <c r="BL58" s="26">
        <v>0</v>
      </c>
      <c r="BM58" s="26">
        <f t="shared" si="43"/>
        <v>4407</v>
      </c>
      <c r="BN58" s="27"/>
      <c r="BO58" s="27"/>
    </row>
    <row r="59" spans="1:67" ht="16.5" customHeight="1">
      <c r="A59" s="230" t="s">
        <v>57</v>
      </c>
      <c r="B59" s="29">
        <v>5712655</v>
      </c>
      <c r="C59" s="26">
        <f t="shared" si="34"/>
        <v>14875542</v>
      </c>
      <c r="D59" s="26">
        <f t="shared" si="35"/>
        <v>11366115.51</v>
      </c>
      <c r="E59" s="26">
        <f t="shared" si="36"/>
        <v>31954312.509999998</v>
      </c>
      <c r="F59" s="26">
        <v>0</v>
      </c>
      <c r="G59" s="26">
        <v>0</v>
      </c>
      <c r="H59" s="26">
        <f t="shared" si="37"/>
        <v>31954312.509999998</v>
      </c>
      <c r="I59" s="27"/>
      <c r="J59" s="27"/>
      <c r="K59" s="29" t="s">
        <v>57</v>
      </c>
      <c r="L59" s="26">
        <v>0</v>
      </c>
      <c r="M59" s="26">
        <v>0</v>
      </c>
      <c r="N59" s="26">
        <v>5088108</v>
      </c>
      <c r="O59" s="26">
        <v>0</v>
      </c>
      <c r="P59" s="149">
        <v>0</v>
      </c>
      <c r="Q59" s="26">
        <v>0</v>
      </c>
      <c r="R59" s="26">
        <v>2804983</v>
      </c>
      <c r="S59" s="26">
        <v>0</v>
      </c>
      <c r="T59" s="26">
        <v>0</v>
      </c>
      <c r="U59" s="26">
        <v>0</v>
      </c>
      <c r="V59" s="26">
        <v>6982451</v>
      </c>
      <c r="W59" s="149">
        <v>0</v>
      </c>
      <c r="X59" s="26">
        <v>0</v>
      </c>
      <c r="Y59" s="26">
        <f t="shared" si="38"/>
        <v>0</v>
      </c>
      <c r="Z59" s="26">
        <f t="shared" si="39"/>
        <v>0</v>
      </c>
      <c r="AA59" s="26">
        <f t="shared" si="40"/>
        <v>14875542</v>
      </c>
      <c r="AB59" s="27"/>
      <c r="AC59" s="28"/>
      <c r="AD59" s="29" t="s">
        <v>57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26">
        <v>0</v>
      </c>
      <c r="AN59" s="26">
        <v>0</v>
      </c>
      <c r="AO59" s="26">
        <v>0</v>
      </c>
      <c r="AP59" s="26">
        <v>0</v>
      </c>
      <c r="AQ59" s="26">
        <f t="shared" si="41"/>
        <v>0</v>
      </c>
      <c r="AR59" s="27"/>
      <c r="AS59" s="28"/>
      <c r="AT59" s="29" t="s">
        <v>57</v>
      </c>
      <c r="AU59" s="26">
        <v>0</v>
      </c>
      <c r="AV59" s="26">
        <v>0</v>
      </c>
      <c r="AW59" s="26">
        <v>0</v>
      </c>
      <c r="AX59" s="26">
        <v>0</v>
      </c>
      <c r="AY59" s="26">
        <v>0</v>
      </c>
      <c r="AZ59" s="26">
        <v>0</v>
      </c>
      <c r="BA59" s="26">
        <v>0</v>
      </c>
      <c r="BB59" s="26">
        <v>0</v>
      </c>
      <c r="BC59" s="26">
        <v>0</v>
      </c>
      <c r="BD59" s="26">
        <f t="shared" si="42"/>
        <v>0</v>
      </c>
      <c r="BE59" s="27"/>
      <c r="BF59" s="193"/>
      <c r="BG59" s="29" t="s">
        <v>57</v>
      </c>
      <c r="BH59" s="149">
        <v>4140406.51</v>
      </c>
      <c r="BI59" s="26">
        <v>7225709</v>
      </c>
      <c r="BJ59" s="141">
        <v>0</v>
      </c>
      <c r="BK59" s="26"/>
      <c r="BL59" s="26">
        <v>0</v>
      </c>
      <c r="BM59" s="26">
        <f t="shared" si="43"/>
        <v>11366115.51</v>
      </c>
      <c r="BN59" s="27"/>
      <c r="BO59" s="27"/>
    </row>
    <row r="60" spans="1:67" ht="16.5" customHeight="1">
      <c r="A60" s="230" t="s">
        <v>58</v>
      </c>
      <c r="B60" s="29">
        <v>0</v>
      </c>
      <c r="C60" s="26">
        <f t="shared" si="34"/>
        <v>400000</v>
      </c>
      <c r="D60" s="26">
        <f t="shared" si="35"/>
        <v>0</v>
      </c>
      <c r="E60" s="26">
        <f t="shared" si="36"/>
        <v>400000</v>
      </c>
      <c r="F60" s="26">
        <v>600000</v>
      </c>
      <c r="G60" s="26">
        <v>200000</v>
      </c>
      <c r="H60" s="26">
        <f t="shared" si="37"/>
        <v>0</v>
      </c>
      <c r="I60" s="27"/>
      <c r="J60" s="27"/>
      <c r="K60" s="29" t="s">
        <v>58</v>
      </c>
      <c r="L60" s="26">
        <v>0</v>
      </c>
      <c r="M60" s="26">
        <v>0</v>
      </c>
      <c r="N60" s="26">
        <v>0</v>
      </c>
      <c r="O60" s="26">
        <v>0</v>
      </c>
      <c r="P60" s="149">
        <v>0</v>
      </c>
      <c r="Q60" s="26">
        <v>0</v>
      </c>
      <c r="R60" s="26">
        <v>0</v>
      </c>
      <c r="S60" s="26">
        <v>0</v>
      </c>
      <c r="T60" s="30">
        <v>0</v>
      </c>
      <c r="U60" s="26">
        <v>400000</v>
      </c>
      <c r="V60" s="30">
        <v>0</v>
      </c>
      <c r="W60" s="149">
        <v>0</v>
      </c>
      <c r="X60" s="26">
        <v>0</v>
      </c>
      <c r="Y60" s="26">
        <f t="shared" si="38"/>
        <v>0</v>
      </c>
      <c r="Z60" s="26">
        <f t="shared" si="39"/>
        <v>0</v>
      </c>
      <c r="AA60" s="26">
        <f t="shared" si="40"/>
        <v>400000</v>
      </c>
      <c r="AB60" s="27"/>
      <c r="AC60" s="28"/>
      <c r="AD60" s="29" t="s">
        <v>58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30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f t="shared" si="41"/>
        <v>0</v>
      </c>
      <c r="AR60" s="27"/>
      <c r="AS60" s="28"/>
      <c r="AT60" s="29" t="s">
        <v>58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f t="shared" si="42"/>
        <v>0</v>
      </c>
      <c r="BE60" s="27"/>
      <c r="BF60" s="193"/>
      <c r="BG60" s="29" t="s">
        <v>58</v>
      </c>
      <c r="BH60" s="149">
        <v>0</v>
      </c>
      <c r="BI60" s="26">
        <v>0</v>
      </c>
      <c r="BJ60" s="141">
        <v>0</v>
      </c>
      <c r="BK60" s="26"/>
      <c r="BL60" s="26">
        <v>0</v>
      </c>
      <c r="BM60" s="26">
        <f t="shared" si="43"/>
        <v>0</v>
      </c>
      <c r="BN60" s="27"/>
      <c r="BO60" s="27"/>
    </row>
    <row r="61" spans="1:67" ht="16.5" customHeight="1">
      <c r="A61" s="230"/>
      <c r="B61" s="29"/>
      <c r="C61" s="26"/>
      <c r="D61" s="26"/>
      <c r="E61" s="26"/>
      <c r="F61" s="26"/>
      <c r="G61" s="26"/>
      <c r="H61" s="26"/>
      <c r="I61" s="27"/>
      <c r="J61" s="27"/>
      <c r="K61" s="29"/>
      <c r="L61" s="26"/>
      <c r="M61" s="26"/>
      <c r="N61" s="26"/>
      <c r="O61" s="26"/>
      <c r="P61" s="155"/>
      <c r="Q61" s="26"/>
      <c r="R61" s="26"/>
      <c r="S61" s="26"/>
      <c r="T61" s="30"/>
      <c r="U61" s="26"/>
      <c r="V61" s="30"/>
      <c r="W61" s="155"/>
      <c r="X61" s="26"/>
      <c r="Y61" s="26"/>
      <c r="Z61" s="26"/>
      <c r="AA61" s="26"/>
      <c r="AB61" s="27"/>
      <c r="AC61" s="28"/>
      <c r="AD61" s="29"/>
      <c r="AE61" s="26"/>
      <c r="AF61" s="26"/>
      <c r="AG61" s="26"/>
      <c r="AH61" s="34"/>
      <c r="AI61" s="26"/>
      <c r="AJ61" s="26"/>
      <c r="AK61" s="26"/>
      <c r="AL61" s="30"/>
      <c r="AM61" s="34"/>
      <c r="AN61" s="26"/>
      <c r="AO61" s="26"/>
      <c r="AP61" s="26"/>
      <c r="AQ61" s="26"/>
      <c r="AR61" s="27"/>
      <c r="AS61" s="28"/>
      <c r="AT61" s="29"/>
      <c r="AU61" s="26"/>
      <c r="AV61" s="26"/>
      <c r="AW61" s="26"/>
      <c r="AX61" s="34"/>
      <c r="AY61" s="26"/>
      <c r="AZ61" s="26"/>
      <c r="BA61" s="26"/>
      <c r="BB61" s="26"/>
      <c r="BC61" s="26"/>
      <c r="BD61" s="26"/>
      <c r="BE61" s="27"/>
      <c r="BF61" s="193"/>
      <c r="BG61" s="29"/>
      <c r="BH61" s="155"/>
      <c r="BI61" s="26"/>
      <c r="BJ61" s="145"/>
      <c r="BK61" s="26"/>
      <c r="BL61" s="26"/>
      <c r="BM61" s="26"/>
      <c r="BN61" s="27"/>
      <c r="BO61" s="27"/>
    </row>
    <row r="62" spans="1:67" ht="16.5" customHeight="1">
      <c r="A62" s="273"/>
      <c r="B62" s="275">
        <f>SUM(B47:B60)</f>
        <v>454722873.58000004</v>
      </c>
      <c r="C62" s="39">
        <f>SUM(C47:C60)</f>
        <v>912450290.9399999</v>
      </c>
      <c r="D62" s="39">
        <f>SUM(D47:D60)</f>
        <v>123700781.9</v>
      </c>
      <c r="E62" s="39">
        <f>SUM(E47:E60)</f>
        <v>1490873946.4199998</v>
      </c>
      <c r="F62" s="30"/>
      <c r="G62" s="30"/>
      <c r="H62" s="39">
        <f>SUM(H47:H60)</f>
        <v>940776214.1</v>
      </c>
      <c r="I62" s="27"/>
      <c r="J62" s="27"/>
      <c r="K62" s="35"/>
      <c r="L62" s="39">
        <f>SUM(L47:L60)</f>
        <v>-2904424.96</v>
      </c>
      <c r="M62" s="39">
        <f>SUM(M47:M60)</f>
        <v>136083202.28</v>
      </c>
      <c r="N62" s="39">
        <f>SUM(N47:N60)</f>
        <v>91519027</v>
      </c>
      <c r="O62" s="39">
        <f>SUM(O47:O60)</f>
        <v>18084028</v>
      </c>
      <c r="P62" s="39">
        <f aca="true" t="shared" si="44" ref="P62:X62">SUM(P47:P60)</f>
        <v>14663383.4</v>
      </c>
      <c r="Q62" s="39">
        <f t="shared" si="44"/>
        <v>6784002</v>
      </c>
      <c r="R62" s="39">
        <f t="shared" si="44"/>
        <v>362200802</v>
      </c>
      <c r="S62" s="39">
        <f t="shared" si="44"/>
        <v>1502680.0199999998</v>
      </c>
      <c r="T62" s="39">
        <f t="shared" si="44"/>
        <v>6658333</v>
      </c>
      <c r="U62" s="39">
        <f t="shared" si="44"/>
        <v>3219512.12</v>
      </c>
      <c r="V62" s="39">
        <f t="shared" si="44"/>
        <v>181746416</v>
      </c>
      <c r="W62" s="39">
        <f t="shared" si="44"/>
        <v>39308239</v>
      </c>
      <c r="X62" s="39">
        <f t="shared" si="44"/>
        <v>285906</v>
      </c>
      <c r="Y62" s="39">
        <f>SUM(Y47:Y60)</f>
        <v>45707121.239999995</v>
      </c>
      <c r="Z62" s="39">
        <f>SUM(Z47:Z60)</f>
        <v>7592063.840000001</v>
      </c>
      <c r="AA62" s="39">
        <f>SUM(AA47:AA60)</f>
        <v>912450290.9399999</v>
      </c>
      <c r="AB62" s="27"/>
      <c r="AC62" s="28"/>
      <c r="AD62" s="35"/>
      <c r="AE62" s="39">
        <f aca="true" t="shared" si="45" ref="AE62:AK62">SUM(AE47:AE60)</f>
        <v>158829.91</v>
      </c>
      <c r="AF62" s="39">
        <f t="shared" si="45"/>
        <v>13823.2</v>
      </c>
      <c r="AG62" s="39">
        <f t="shared" si="45"/>
        <v>14022171.75</v>
      </c>
      <c r="AH62" s="39">
        <f t="shared" si="45"/>
        <v>8022408.66</v>
      </c>
      <c r="AI62" s="116">
        <f t="shared" si="45"/>
        <v>4800</v>
      </c>
      <c r="AJ62" s="39">
        <f t="shared" si="45"/>
        <v>4800</v>
      </c>
      <c r="AK62" s="39">
        <f t="shared" si="45"/>
        <v>10642.38</v>
      </c>
      <c r="AL62" s="39">
        <f>SUM(AL47:AL59)</f>
        <v>10642.5</v>
      </c>
      <c r="AM62" s="39">
        <f>SUM(AM47:AM60)</f>
        <v>1141175.6</v>
      </c>
      <c r="AN62" s="39">
        <f>SUM(AN47:AN60)</f>
        <v>4258567.0200000005</v>
      </c>
      <c r="AO62" s="39">
        <f>SUM(AO47:AO60)</f>
        <v>1161639</v>
      </c>
      <c r="AP62" s="39">
        <f>SUM(AP47:AP60)</f>
        <v>16897621.22</v>
      </c>
      <c r="AQ62" s="39">
        <f>SUM(AQ47:AQ60)</f>
        <v>45707121.239999995</v>
      </c>
      <c r="AR62" s="27"/>
      <c r="AS62" s="28"/>
      <c r="AT62" s="35"/>
      <c r="AU62" s="39">
        <f>SUM(AU47:AU60)</f>
        <v>5402055.88</v>
      </c>
      <c r="AV62" s="39">
        <f>SUM(AV47:AV60)</f>
        <v>9905</v>
      </c>
      <c r="AW62" s="116">
        <f aca="true" t="shared" si="46" ref="AW62:BD62">SUM(AW47:AW60)</f>
        <v>1511463.7</v>
      </c>
      <c r="AX62" s="39">
        <f t="shared" si="46"/>
        <v>10460.9</v>
      </c>
      <c r="AY62" s="39">
        <f t="shared" si="46"/>
        <v>40400</v>
      </c>
      <c r="AZ62" s="39">
        <f t="shared" si="46"/>
        <v>595591</v>
      </c>
      <c r="BA62" s="39">
        <f t="shared" si="46"/>
        <v>7471.85</v>
      </c>
      <c r="BB62" s="39">
        <f t="shared" si="46"/>
        <v>7871.85</v>
      </c>
      <c r="BC62" s="39">
        <f t="shared" si="46"/>
        <v>6843.66</v>
      </c>
      <c r="BD62" s="39">
        <f t="shared" si="46"/>
        <v>7592063.840000001</v>
      </c>
      <c r="BE62" s="27"/>
      <c r="BF62" s="193"/>
      <c r="BG62" s="35"/>
      <c r="BH62" s="39">
        <f aca="true" t="shared" si="47" ref="BH62:BM62">SUM(BH47:BH60)</f>
        <v>10378829.909999998</v>
      </c>
      <c r="BI62" s="39">
        <f t="shared" si="47"/>
        <v>15264356</v>
      </c>
      <c r="BJ62" s="39">
        <f t="shared" si="47"/>
        <v>98057595.99</v>
      </c>
      <c r="BK62" s="39"/>
      <c r="BL62" s="39">
        <f t="shared" si="47"/>
        <v>0</v>
      </c>
      <c r="BM62" s="39">
        <f t="shared" si="47"/>
        <v>123700781.9</v>
      </c>
      <c r="BN62" s="27"/>
      <c r="BO62" s="27"/>
    </row>
    <row r="63" spans="1:67" ht="16.5" customHeight="1">
      <c r="A63" s="273"/>
      <c r="B63" s="29"/>
      <c r="C63" s="26"/>
      <c r="D63" s="26"/>
      <c r="E63" s="26"/>
      <c r="F63" s="30"/>
      <c r="G63" s="30"/>
      <c r="H63" s="26"/>
      <c r="I63" s="27"/>
      <c r="J63" s="27"/>
      <c r="K63" s="35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155"/>
      <c r="X63" s="26"/>
      <c r="Y63" s="26"/>
      <c r="Z63" s="26"/>
      <c r="AA63" s="26"/>
      <c r="AB63" s="27"/>
      <c r="AC63" s="28"/>
      <c r="AD63" s="35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7"/>
      <c r="AS63" s="28"/>
      <c r="AT63" s="35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/>
      <c r="BF63" s="193"/>
      <c r="BG63" s="35"/>
      <c r="BH63" s="155"/>
      <c r="BI63" s="26"/>
      <c r="BJ63" s="26"/>
      <c r="BK63" s="26"/>
      <c r="BL63" s="26"/>
      <c r="BM63" s="26"/>
      <c r="BN63" s="27"/>
      <c r="BO63" s="27"/>
    </row>
    <row r="64" spans="1:67" ht="16.5" customHeight="1">
      <c r="A64" s="272" t="s">
        <v>413</v>
      </c>
      <c r="B64" s="29">
        <f>B42-B62</f>
        <v>-299533377.58000004</v>
      </c>
      <c r="C64" s="26">
        <f>C42-C62</f>
        <v>-627839436.2199999</v>
      </c>
      <c r="D64" s="26">
        <f>D42-D62</f>
        <v>-122567804.14</v>
      </c>
      <c r="E64" s="26">
        <f>E42-E62</f>
        <v>-1049940617.9399998</v>
      </c>
      <c r="F64" s="26"/>
      <c r="G64" s="26"/>
      <c r="H64" s="26">
        <f>H42-H62</f>
        <v>-628413799.94</v>
      </c>
      <c r="I64" s="27"/>
      <c r="J64" s="27"/>
      <c r="K64" s="25" t="s">
        <v>413</v>
      </c>
      <c r="L64" s="26">
        <f aca="true" t="shared" si="48" ref="L64:X64">L42-L62</f>
        <v>7475680.96</v>
      </c>
      <c r="M64" s="26">
        <f t="shared" si="48"/>
        <v>-134859124.28</v>
      </c>
      <c r="N64" s="26">
        <f t="shared" si="48"/>
        <v>-83927472</v>
      </c>
      <c r="O64" s="26">
        <f t="shared" si="48"/>
        <v>-17911199</v>
      </c>
      <c r="P64" s="26">
        <f t="shared" si="48"/>
        <v>-4857861.4</v>
      </c>
      <c r="Q64" s="26">
        <f t="shared" si="48"/>
        <v>-5455654</v>
      </c>
      <c r="R64" s="26">
        <f t="shared" si="48"/>
        <v>-209096323</v>
      </c>
      <c r="S64" s="26">
        <f t="shared" si="48"/>
        <v>-1495315.5199999998</v>
      </c>
      <c r="T64" s="26">
        <f t="shared" si="48"/>
        <v>-3856635</v>
      </c>
      <c r="U64" s="26">
        <f t="shared" si="48"/>
        <v>827349.54</v>
      </c>
      <c r="V64" s="26">
        <f t="shared" si="48"/>
        <v>-131501346</v>
      </c>
      <c r="W64" s="26">
        <f t="shared" si="48"/>
        <v>-6514957</v>
      </c>
      <c r="X64" s="26">
        <f t="shared" si="48"/>
        <v>241312</v>
      </c>
      <c r="Y64" s="26">
        <f>Y42-Y62</f>
        <v>-34412701.059999995</v>
      </c>
      <c r="Z64" s="26">
        <f>Z42-Z62</f>
        <v>-2495190.460000001</v>
      </c>
      <c r="AA64" s="26">
        <f>AA42-AA62</f>
        <v>-627839436.2199999</v>
      </c>
      <c r="AB64" s="27"/>
      <c r="AC64" s="28"/>
      <c r="AD64" s="25" t="s">
        <v>413</v>
      </c>
      <c r="AE64" s="26">
        <f aca="true" t="shared" si="49" ref="AE64:AQ64">AE42-AE62</f>
        <v>-74017.15000000001</v>
      </c>
      <c r="AF64" s="26">
        <f t="shared" si="49"/>
        <v>-13804</v>
      </c>
      <c r="AG64" s="26">
        <f t="shared" si="49"/>
        <v>-6881749</v>
      </c>
      <c r="AH64" s="26">
        <f t="shared" si="49"/>
        <v>-7597793.26</v>
      </c>
      <c r="AI64" s="26">
        <f t="shared" si="49"/>
        <v>-4798</v>
      </c>
      <c r="AJ64" s="26">
        <f t="shared" si="49"/>
        <v>-4798</v>
      </c>
      <c r="AK64" s="26">
        <f t="shared" si="49"/>
        <v>-10639.88</v>
      </c>
      <c r="AL64" s="26">
        <f t="shared" si="49"/>
        <v>-10640</v>
      </c>
      <c r="AM64" s="26">
        <f>AM42-AM62</f>
        <v>-1140966.6</v>
      </c>
      <c r="AN64" s="26">
        <f>AN42-AN62</f>
        <v>-4134738.1700000004</v>
      </c>
      <c r="AO64" s="26">
        <f t="shared" si="49"/>
        <v>-736637</v>
      </c>
      <c r="AP64" s="26">
        <f t="shared" si="49"/>
        <v>-13802119.999999998</v>
      </c>
      <c r="AQ64" s="26">
        <f t="shared" si="49"/>
        <v>-34412701.059999995</v>
      </c>
      <c r="AR64" s="27"/>
      <c r="AS64" s="28"/>
      <c r="AT64" s="25" t="s">
        <v>413</v>
      </c>
      <c r="AU64" s="26">
        <f aca="true" t="shared" si="50" ref="AU64:BD64">AU42-AU62</f>
        <v>-709047</v>
      </c>
      <c r="AV64" s="26">
        <f>AV42-AV62</f>
        <v>2</v>
      </c>
      <c r="AW64" s="26">
        <f t="shared" si="50"/>
        <v>-1511461.7</v>
      </c>
      <c r="AX64" s="26">
        <f t="shared" si="50"/>
        <v>-10458.9</v>
      </c>
      <c r="AY64" s="26">
        <f t="shared" si="50"/>
        <v>-40398</v>
      </c>
      <c r="AZ64" s="26">
        <f t="shared" si="50"/>
        <v>-595591</v>
      </c>
      <c r="BA64" s="26">
        <f t="shared" si="50"/>
        <v>-7469.85</v>
      </c>
      <c r="BB64" s="26">
        <f t="shared" si="50"/>
        <v>-7869.85</v>
      </c>
      <c r="BC64" s="26">
        <f t="shared" si="50"/>
        <v>387103.84</v>
      </c>
      <c r="BD64" s="26">
        <f t="shared" si="50"/>
        <v>-2495190.460000001</v>
      </c>
      <c r="BE64" s="27"/>
      <c r="BF64" s="193"/>
      <c r="BG64" s="25" t="s">
        <v>413</v>
      </c>
      <c r="BH64" s="26">
        <f aca="true" t="shared" si="51" ref="BH64:BM64">BH42-BH62</f>
        <v>-10169900.419999998</v>
      </c>
      <c r="BI64" s="26">
        <f t="shared" si="51"/>
        <v>-14340662</v>
      </c>
      <c r="BJ64" s="26">
        <f t="shared" si="51"/>
        <v>-98057241.72</v>
      </c>
      <c r="BK64" s="26"/>
      <c r="BL64" s="26">
        <f t="shared" si="51"/>
        <v>0</v>
      </c>
      <c r="BM64" s="26">
        <f t="shared" si="51"/>
        <v>-122567804.14</v>
      </c>
      <c r="BN64" s="27"/>
      <c r="BO64" s="27"/>
    </row>
    <row r="65" spans="1:67" ht="16.5" customHeight="1">
      <c r="A65" s="273"/>
      <c r="B65" s="35"/>
      <c r="C65" s="26"/>
      <c r="D65" s="26"/>
      <c r="E65" s="26"/>
      <c r="F65" s="30"/>
      <c r="G65" s="30"/>
      <c r="H65" s="26"/>
      <c r="I65" s="27"/>
      <c r="J65" s="27"/>
      <c r="K65" s="35"/>
      <c r="L65" s="30"/>
      <c r="M65" s="26"/>
      <c r="N65" s="26"/>
      <c r="O65" s="26"/>
      <c r="P65" s="156"/>
      <c r="Q65" s="26"/>
      <c r="R65" s="30"/>
      <c r="S65" s="26"/>
      <c r="T65" s="26"/>
      <c r="U65" s="26"/>
      <c r="V65" s="26"/>
      <c r="W65" s="156"/>
      <c r="X65" s="26"/>
      <c r="Y65" s="26"/>
      <c r="Z65" s="26"/>
      <c r="AA65" s="26"/>
      <c r="AB65" s="27"/>
      <c r="AC65" s="28"/>
      <c r="AD65" s="35"/>
      <c r="AE65" s="30"/>
      <c r="AF65" s="26"/>
      <c r="AG65" s="26"/>
      <c r="AH65" s="30"/>
      <c r="AI65" s="26"/>
      <c r="AJ65" s="26"/>
      <c r="AK65" s="26"/>
      <c r="AL65" s="26"/>
      <c r="AM65" s="30"/>
      <c r="AN65" s="26"/>
      <c r="AO65" s="26"/>
      <c r="AP65" s="26"/>
      <c r="AQ65" s="26"/>
      <c r="AR65" s="27"/>
      <c r="AS65" s="28"/>
      <c r="AT65" s="35"/>
      <c r="AU65" s="30"/>
      <c r="AV65" s="26"/>
      <c r="AW65" s="26"/>
      <c r="AX65" s="30"/>
      <c r="AY65" s="26"/>
      <c r="AZ65" s="26"/>
      <c r="BA65" s="26"/>
      <c r="BB65" s="26"/>
      <c r="BC65" s="26"/>
      <c r="BD65" s="26"/>
      <c r="BE65" s="27"/>
      <c r="BF65" s="193"/>
      <c r="BG65" s="35"/>
      <c r="BH65" s="156"/>
      <c r="BI65" s="26"/>
      <c r="BJ65" s="146"/>
      <c r="BK65" s="26"/>
      <c r="BL65" s="26"/>
      <c r="BM65" s="26"/>
      <c r="BN65" s="27"/>
      <c r="BO65" s="27"/>
    </row>
    <row r="66" spans="1:67" ht="16.5" customHeight="1">
      <c r="A66" s="272" t="s">
        <v>414</v>
      </c>
      <c r="B66" s="29">
        <v>0</v>
      </c>
      <c r="C66" s="26">
        <f>AA66</f>
        <v>0</v>
      </c>
      <c r="D66" s="26">
        <f>BM66</f>
        <v>-0.3999999999996362</v>
      </c>
      <c r="E66" s="26">
        <f>SUM(B66:D66)</f>
        <v>-0.3999999999996362</v>
      </c>
      <c r="F66" s="30">
        <v>2027981</v>
      </c>
      <c r="G66" s="30">
        <v>2027981</v>
      </c>
      <c r="H66" s="26">
        <f>E66+F66-G66</f>
        <v>-0.39999999990686774</v>
      </c>
      <c r="I66" s="27"/>
      <c r="J66" s="27"/>
      <c r="K66" s="25" t="s">
        <v>414</v>
      </c>
      <c r="L66" s="26">
        <v>0</v>
      </c>
      <c r="M66" s="26">
        <v>0</v>
      </c>
      <c r="N66" s="26">
        <v>0</v>
      </c>
      <c r="O66" s="26">
        <v>0</v>
      </c>
      <c r="P66" s="149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149">
        <v>0</v>
      </c>
      <c r="X66" s="26">
        <v>0</v>
      </c>
      <c r="Y66" s="26">
        <f>AQ66</f>
        <v>0</v>
      </c>
      <c r="Z66" s="26">
        <f>BD66</f>
        <v>0</v>
      </c>
      <c r="AA66" s="26">
        <f>SUM(L66:Z66)</f>
        <v>0</v>
      </c>
      <c r="AB66" s="27"/>
      <c r="AC66" s="28"/>
      <c r="AD66" s="25" t="s">
        <v>414</v>
      </c>
      <c r="AE66" s="26">
        <v>0</v>
      </c>
      <c r="AF66" s="26">
        <f>1360+11212.9+9.5-2.5-12579.9</f>
        <v>0</v>
      </c>
      <c r="AG66" s="26">
        <f>6352.1-6352.1</f>
        <v>0</v>
      </c>
      <c r="AH66" s="26">
        <v>0</v>
      </c>
      <c r="AI66" s="26">
        <f>2800-2800</f>
        <v>0</v>
      </c>
      <c r="AJ66" s="26">
        <f>2800-2800</f>
        <v>0</v>
      </c>
      <c r="AK66" s="26">
        <f>3750-3750</f>
        <v>0</v>
      </c>
      <c r="AL66" s="26">
        <f>3750-3750</f>
        <v>0</v>
      </c>
      <c r="AM66" s="26">
        <f>1549.06-1549.06</f>
        <v>0</v>
      </c>
      <c r="AN66" s="26">
        <f>3440-3440</f>
        <v>0</v>
      </c>
      <c r="AO66" s="26">
        <f>8603.53-8603.53</f>
        <v>0</v>
      </c>
      <c r="AP66" s="26">
        <f>CG66</f>
        <v>0</v>
      </c>
      <c r="AQ66" s="26">
        <f>SUM(AE66:AP66)</f>
        <v>0</v>
      </c>
      <c r="AR66" s="27"/>
      <c r="AS66" s="28"/>
      <c r="AT66" s="25" t="s">
        <v>414</v>
      </c>
      <c r="AU66" s="26">
        <f>17161-17161</f>
        <v>0</v>
      </c>
      <c r="AV66" s="26">
        <v>0</v>
      </c>
      <c r="AW66" s="26">
        <f>2264.7-2264.7</f>
        <v>0</v>
      </c>
      <c r="AX66" s="26">
        <f>8190.9-8190.9</f>
        <v>0</v>
      </c>
      <c r="AY66" s="26">
        <f>3098-3098</f>
        <v>0</v>
      </c>
      <c r="AZ66" s="26">
        <f>586648-586648</f>
        <v>0</v>
      </c>
      <c r="BA66" s="26">
        <f>2901.85+3500-6401.85</f>
        <v>0</v>
      </c>
      <c r="BB66" s="26">
        <f>3301.85+3500-6801.85</f>
        <v>0</v>
      </c>
      <c r="BC66" s="26">
        <f>DA66</f>
        <v>0</v>
      </c>
      <c r="BD66" s="26">
        <f>SUM(AU66:BC66)</f>
        <v>0</v>
      </c>
      <c r="BE66" s="27"/>
      <c r="BF66" s="193"/>
      <c r="BG66" s="25" t="s">
        <v>414</v>
      </c>
      <c r="BH66" s="149">
        <v>0</v>
      </c>
      <c r="BI66" s="26">
        <v>0</v>
      </c>
      <c r="BJ66" s="141">
        <v>-0.3999999999996362</v>
      </c>
      <c r="BK66" s="26"/>
      <c r="BL66" s="26">
        <v>0</v>
      </c>
      <c r="BM66" s="26">
        <f>SUM(BH66:BL66)</f>
        <v>-0.3999999999996362</v>
      </c>
      <c r="BN66" s="27"/>
      <c r="BO66" s="27"/>
    </row>
    <row r="67" spans="1:67" ht="16.5" customHeight="1">
      <c r="A67" s="272"/>
      <c r="B67" s="29"/>
      <c r="C67" s="26"/>
      <c r="D67" s="26"/>
      <c r="E67" s="26"/>
      <c r="F67" s="30"/>
      <c r="G67" s="30"/>
      <c r="H67" s="26"/>
      <c r="I67" s="27"/>
      <c r="J67" s="27"/>
      <c r="K67" s="25"/>
      <c r="L67" s="26"/>
      <c r="M67" s="26"/>
      <c r="N67" s="26"/>
      <c r="O67" s="26"/>
      <c r="P67" s="155"/>
      <c r="Q67" s="26"/>
      <c r="R67" s="26"/>
      <c r="S67" s="26"/>
      <c r="T67" s="26"/>
      <c r="U67" s="26"/>
      <c r="V67" s="26"/>
      <c r="W67" s="155"/>
      <c r="X67" s="26"/>
      <c r="Y67" s="26"/>
      <c r="Z67" s="26"/>
      <c r="AA67" s="26"/>
      <c r="AB67" s="27"/>
      <c r="AC67" s="28"/>
      <c r="AD67" s="25"/>
      <c r="AE67" s="26"/>
      <c r="AF67" s="26"/>
      <c r="AG67" s="26"/>
      <c r="AH67" s="34"/>
      <c r="AI67" s="26"/>
      <c r="AJ67" s="26"/>
      <c r="AK67" s="26"/>
      <c r="AL67" s="26"/>
      <c r="AM67" s="34"/>
      <c r="AN67" s="26"/>
      <c r="AO67" s="26"/>
      <c r="AP67" s="26"/>
      <c r="AQ67" s="26"/>
      <c r="AR67" s="27"/>
      <c r="AS67" s="28"/>
      <c r="AT67" s="25"/>
      <c r="AU67" s="26"/>
      <c r="AV67" s="26"/>
      <c r="AW67" s="26"/>
      <c r="AX67" s="34"/>
      <c r="AY67" s="26"/>
      <c r="AZ67" s="26"/>
      <c r="BA67" s="26"/>
      <c r="BB67" s="26"/>
      <c r="BC67" s="26"/>
      <c r="BD67" s="26"/>
      <c r="BE67" s="27"/>
      <c r="BF67" s="193"/>
      <c r="BG67" s="25"/>
      <c r="BH67" s="155"/>
      <c r="BI67" s="26"/>
      <c r="BJ67" s="145"/>
      <c r="BK67" s="26"/>
      <c r="BL67" s="26"/>
      <c r="BM67" s="26"/>
      <c r="BN67" s="27"/>
      <c r="BO67" s="27"/>
    </row>
    <row r="68" spans="1:67" ht="16.5" customHeight="1" thickBot="1">
      <c r="A68" s="274"/>
      <c r="B68" s="36">
        <f>SUM(B22:B28)+B64+B66</f>
        <v>-219435935.58000004</v>
      </c>
      <c r="C68" s="43">
        <f>SUM(C22:C28)+C64+C66</f>
        <v>-424303189.43999994</v>
      </c>
      <c r="D68" s="43">
        <f>SUM(D22:D28)+D64+D66</f>
        <v>-73710097.54</v>
      </c>
      <c r="E68" s="43">
        <f>SUM(E22:E28)+E64+E66</f>
        <v>-717449222.5599998</v>
      </c>
      <c r="F68" s="43">
        <v>1618903430.6580002</v>
      </c>
      <c r="G68" s="43">
        <v>1618903430.658</v>
      </c>
      <c r="H68" s="43">
        <f>SUM(H22:H28)+H64+H66</f>
        <v>-330496494.882</v>
      </c>
      <c r="I68" s="27"/>
      <c r="J68" s="27"/>
      <c r="K68" s="42"/>
      <c r="L68" s="43">
        <f aca="true" t="shared" si="52" ref="L68:AA68">SUM(L22:L28)+L64+L66</f>
        <v>49517242.96</v>
      </c>
      <c r="M68" s="43">
        <f t="shared" si="52"/>
        <v>-27645275.28</v>
      </c>
      <c r="N68" s="43">
        <f t="shared" si="52"/>
        <v>-73316044</v>
      </c>
      <c r="O68" s="43">
        <f t="shared" si="52"/>
        <v>-17665731</v>
      </c>
      <c r="P68" s="43">
        <f t="shared" si="52"/>
        <v>-4856781.4</v>
      </c>
      <c r="Q68" s="43">
        <f t="shared" si="52"/>
        <v>-5448662</v>
      </c>
      <c r="R68" s="43">
        <f t="shared" si="52"/>
        <v>-198932618</v>
      </c>
      <c r="S68" s="43">
        <f t="shared" si="52"/>
        <v>-495315.5199999998</v>
      </c>
      <c r="T68" s="43">
        <f t="shared" si="52"/>
        <v>-3856635</v>
      </c>
      <c r="U68" s="43">
        <f t="shared" si="52"/>
        <v>1076933.12</v>
      </c>
      <c r="V68" s="43">
        <f t="shared" si="52"/>
        <v>-104168529</v>
      </c>
      <c r="W68" s="43">
        <f t="shared" si="52"/>
        <v>-6514956</v>
      </c>
      <c r="X68" s="43">
        <f t="shared" si="52"/>
        <v>241312</v>
      </c>
      <c r="Y68" s="43">
        <f t="shared" si="52"/>
        <v>-30436829.859999996</v>
      </c>
      <c r="Z68" s="43">
        <f t="shared" si="52"/>
        <v>-1801300.460000001</v>
      </c>
      <c r="AA68" s="43">
        <f t="shared" si="52"/>
        <v>-424303189.43999994</v>
      </c>
      <c r="AB68" s="28"/>
      <c r="AC68" s="28"/>
      <c r="AD68" s="42"/>
      <c r="AE68" s="43">
        <f aca="true" t="shared" si="53" ref="AE68:AQ68">SUM(AE22:AE28)+AE64+AE66</f>
        <v>-74017.15000000001</v>
      </c>
      <c r="AF68" s="43">
        <f t="shared" si="53"/>
        <v>-13804</v>
      </c>
      <c r="AG68" s="43">
        <f t="shared" si="53"/>
        <v>-6781740</v>
      </c>
      <c r="AH68" s="43">
        <f t="shared" si="53"/>
        <v>-5814806.26</v>
      </c>
      <c r="AI68" s="43">
        <f t="shared" si="53"/>
        <v>-4798</v>
      </c>
      <c r="AJ68" s="43">
        <f t="shared" si="53"/>
        <v>-4798</v>
      </c>
      <c r="AK68" s="43">
        <f t="shared" si="53"/>
        <v>-10639.88</v>
      </c>
      <c r="AL68" s="43">
        <f t="shared" si="53"/>
        <v>-10640</v>
      </c>
      <c r="AM68" s="43">
        <f t="shared" si="53"/>
        <v>-1134092.4000000001</v>
      </c>
      <c r="AN68" s="43">
        <f t="shared" si="53"/>
        <v>-2048738.1700000004</v>
      </c>
      <c r="AO68" s="43">
        <f t="shared" si="53"/>
        <v>-736637</v>
      </c>
      <c r="AP68" s="43">
        <f t="shared" si="53"/>
        <v>-13802118.999999998</v>
      </c>
      <c r="AQ68" s="43">
        <f t="shared" si="53"/>
        <v>-30436829.859999996</v>
      </c>
      <c r="AR68" s="28"/>
      <c r="AS68" s="28"/>
      <c r="AT68" s="42"/>
      <c r="AU68" s="43">
        <f aca="true" t="shared" si="54" ref="AU68:BD68">SUM(AU22:AU28)+AU64+AU66</f>
        <v>-19159</v>
      </c>
      <c r="AV68" s="43">
        <f t="shared" si="54"/>
        <v>2</v>
      </c>
      <c r="AW68" s="43">
        <f t="shared" si="54"/>
        <v>-1511460.7</v>
      </c>
      <c r="AX68" s="43">
        <f t="shared" si="54"/>
        <v>-10458.9</v>
      </c>
      <c r="AY68" s="43">
        <f t="shared" si="54"/>
        <v>-40398</v>
      </c>
      <c r="AZ68" s="43">
        <f t="shared" si="54"/>
        <v>-595591</v>
      </c>
      <c r="BA68" s="43">
        <f t="shared" si="54"/>
        <v>-7469.85</v>
      </c>
      <c r="BB68" s="43">
        <f t="shared" si="54"/>
        <v>-7869.85</v>
      </c>
      <c r="BC68" s="43">
        <f t="shared" si="54"/>
        <v>391104.84</v>
      </c>
      <c r="BD68" s="43">
        <f t="shared" si="54"/>
        <v>-1801300.460000001</v>
      </c>
      <c r="BE68" s="28"/>
      <c r="BF68" s="193"/>
      <c r="BG68" s="42"/>
      <c r="BH68" s="43">
        <f>SUM(BH22:BH28)+BH64+BH66</f>
        <v>-10166338.419999998</v>
      </c>
      <c r="BI68" s="43">
        <f>SUM(BI22:BI28)+BI64+BI66</f>
        <v>-11486517</v>
      </c>
      <c r="BJ68" s="43">
        <f>SUM(BJ22:BJ28)+BJ64+BJ66</f>
        <v>-52057242.12</v>
      </c>
      <c r="BK68" s="43"/>
      <c r="BL68" s="43">
        <f>SUM(BL22:BL28)+BL64+BL66</f>
        <v>0</v>
      </c>
      <c r="BM68" s="43">
        <f>SUM(BM22:BM28)+BM64+BM66</f>
        <v>-73710097.54</v>
      </c>
      <c r="BN68" s="27"/>
      <c r="BO68" s="27"/>
    </row>
    <row r="69" spans="1:67" ht="13.5" thickTop="1">
      <c r="A69" s="222"/>
      <c r="B69" s="45"/>
      <c r="C69" s="44"/>
      <c r="D69" s="44"/>
      <c r="E69" s="44"/>
      <c r="F69" s="45">
        <v>0</v>
      </c>
      <c r="G69" s="44"/>
      <c r="H69" s="44"/>
      <c r="I69" s="44"/>
      <c r="J69" s="44"/>
      <c r="K69" s="44"/>
      <c r="L69" s="44"/>
      <c r="M69" s="44"/>
      <c r="N69" s="44"/>
      <c r="O69" s="44"/>
      <c r="Q69" s="44"/>
      <c r="R69" s="45"/>
      <c r="S69" s="44"/>
      <c r="T69" s="44"/>
      <c r="U69" s="44"/>
      <c r="V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194"/>
      <c r="BG69" s="44"/>
      <c r="BI69" s="44"/>
      <c r="BJ69" s="150"/>
      <c r="BK69" s="44"/>
      <c r="BL69" s="44"/>
      <c r="BM69" s="44"/>
      <c r="BN69" s="44"/>
      <c r="BO69" s="44"/>
    </row>
    <row r="70" spans="1:67" ht="12.75">
      <c r="A70" s="44"/>
      <c r="B70" s="44"/>
      <c r="C70" s="44"/>
      <c r="D70" s="44"/>
      <c r="E70" s="44"/>
      <c r="G70" s="44"/>
      <c r="H70" s="44"/>
      <c r="I70" s="44"/>
      <c r="J70" s="44"/>
      <c r="K70" s="44"/>
      <c r="L70" s="44"/>
      <c r="M70" s="44"/>
      <c r="N70" s="44"/>
      <c r="O70" s="44"/>
      <c r="Q70" s="44"/>
      <c r="R70" s="44"/>
      <c r="S70" s="44"/>
      <c r="T70" s="44"/>
      <c r="U70" s="44"/>
      <c r="V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194"/>
      <c r="BG70" s="44"/>
      <c r="BI70" s="44"/>
      <c r="BK70" s="45"/>
      <c r="BL70" s="44"/>
      <c r="BM70" s="44"/>
      <c r="BN70" s="44"/>
      <c r="BO70" s="44"/>
    </row>
    <row r="71" spans="1:67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Q71" s="44"/>
      <c r="R71" s="44"/>
      <c r="S71" s="44"/>
      <c r="T71" s="44"/>
      <c r="U71" s="44"/>
      <c r="V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194"/>
      <c r="BG71" s="44"/>
      <c r="BI71" s="44"/>
      <c r="BK71" s="46"/>
      <c r="BL71" s="44"/>
      <c r="BM71" s="44"/>
      <c r="BN71" s="44"/>
      <c r="BO71" s="44"/>
    </row>
    <row r="72" spans="1:67" s="216" customFormat="1" ht="12.75">
      <c r="A72" s="214"/>
      <c r="B72" s="213">
        <f>B20-B68</f>
        <v>0</v>
      </c>
      <c r="C72" s="213">
        <f>C20-C68</f>
        <v>-0.004000067710876465</v>
      </c>
      <c r="D72" s="213">
        <f>D20-D68</f>
        <v>0</v>
      </c>
      <c r="E72" s="213">
        <f>E20-E68</f>
        <v>-0.004000306129455566</v>
      </c>
      <c r="F72" s="213">
        <v>1618903430.6580002</v>
      </c>
      <c r="G72" s="213">
        <v>1618903430.658</v>
      </c>
      <c r="H72" s="213">
        <f>H20-H68</f>
        <v>-0.0040000081062316895</v>
      </c>
      <c r="I72" s="214"/>
      <c r="J72" s="214"/>
      <c r="K72" s="214"/>
      <c r="L72" s="213">
        <f aca="true" t="shared" si="55" ref="L72:AA72">L20-L68</f>
        <v>0</v>
      </c>
      <c r="M72" s="213">
        <f t="shared" si="55"/>
        <v>0</v>
      </c>
      <c r="N72" s="213">
        <f t="shared" si="55"/>
        <v>0</v>
      </c>
      <c r="O72" s="213">
        <f t="shared" si="55"/>
        <v>0</v>
      </c>
      <c r="P72" s="213">
        <f t="shared" si="55"/>
        <v>0</v>
      </c>
      <c r="Q72" s="213">
        <f t="shared" si="55"/>
        <v>0</v>
      </c>
      <c r="R72" s="213">
        <f t="shared" si="55"/>
        <v>0</v>
      </c>
      <c r="S72" s="213">
        <f t="shared" si="55"/>
        <v>0</v>
      </c>
      <c r="T72" s="213">
        <f t="shared" si="55"/>
        <v>0</v>
      </c>
      <c r="U72" s="213">
        <f t="shared" si="55"/>
        <v>0</v>
      </c>
      <c r="V72" s="213">
        <f t="shared" si="55"/>
        <v>0</v>
      </c>
      <c r="W72" s="213">
        <f t="shared" si="55"/>
        <v>0</v>
      </c>
      <c r="X72" s="213">
        <f t="shared" si="55"/>
        <v>0</v>
      </c>
      <c r="Y72" s="213">
        <f t="shared" si="55"/>
        <v>-0.004000004380941391</v>
      </c>
      <c r="Z72" s="213">
        <f t="shared" si="55"/>
        <v>0</v>
      </c>
      <c r="AA72" s="213">
        <f t="shared" si="55"/>
        <v>-0.004000067710876465</v>
      </c>
      <c r="AB72" s="213"/>
      <c r="AC72" s="213"/>
      <c r="AD72" s="214"/>
      <c r="AE72" s="213">
        <f aca="true" t="shared" si="56" ref="AE72:AQ72">AE20-AE68</f>
        <v>0</v>
      </c>
      <c r="AF72" s="213">
        <f t="shared" si="56"/>
        <v>0</v>
      </c>
      <c r="AG72" s="213">
        <f t="shared" si="56"/>
        <v>0</v>
      </c>
      <c r="AH72" s="213">
        <f t="shared" si="56"/>
        <v>0</v>
      </c>
      <c r="AI72" s="213">
        <f t="shared" si="56"/>
        <v>0</v>
      </c>
      <c r="AJ72" s="213">
        <f t="shared" si="56"/>
        <v>0</v>
      </c>
      <c r="AK72" s="213">
        <f t="shared" si="56"/>
        <v>0</v>
      </c>
      <c r="AL72" s="213">
        <f t="shared" si="56"/>
        <v>0</v>
      </c>
      <c r="AM72" s="213">
        <f t="shared" si="56"/>
        <v>0</v>
      </c>
      <c r="AN72" s="213">
        <f t="shared" si="56"/>
        <v>-0.003999999491497874</v>
      </c>
      <c r="AO72" s="213">
        <f t="shared" si="56"/>
        <v>0</v>
      </c>
      <c r="AP72" s="213">
        <f t="shared" si="56"/>
        <v>0</v>
      </c>
      <c r="AQ72" s="213">
        <f t="shared" si="56"/>
        <v>-0.004000004380941391</v>
      </c>
      <c r="AR72" s="213"/>
      <c r="AS72" s="213"/>
      <c r="AT72" s="214"/>
      <c r="AU72" s="213">
        <f aca="true" t="shared" si="57" ref="AU72:BD72">AU20-AU68</f>
        <v>0</v>
      </c>
      <c r="AV72" s="213">
        <f t="shared" si="57"/>
        <v>0</v>
      </c>
      <c r="AW72" s="213">
        <f t="shared" si="57"/>
        <v>0</v>
      </c>
      <c r="AX72" s="213">
        <f t="shared" si="57"/>
        <v>0</v>
      </c>
      <c r="AY72" s="213">
        <f t="shared" si="57"/>
        <v>0</v>
      </c>
      <c r="AZ72" s="213">
        <f t="shared" si="57"/>
        <v>0</v>
      </c>
      <c r="BA72" s="213">
        <f t="shared" si="57"/>
        <v>0</v>
      </c>
      <c r="BB72" s="213">
        <f t="shared" si="57"/>
        <v>0</v>
      </c>
      <c r="BC72" s="213">
        <f t="shared" si="57"/>
        <v>0</v>
      </c>
      <c r="BD72" s="213">
        <f t="shared" si="57"/>
        <v>0</v>
      </c>
      <c r="BE72" s="213"/>
      <c r="BF72" s="215"/>
      <c r="BG72" s="213"/>
      <c r="BH72" s="213">
        <f>BH20-BH68</f>
        <v>0</v>
      </c>
      <c r="BI72" s="213">
        <f>BI20-BI68</f>
        <v>0</v>
      </c>
      <c r="BJ72" s="213">
        <f>BJ20-BJ68</f>
        <v>0</v>
      </c>
      <c r="BK72" s="213"/>
      <c r="BL72" s="213">
        <f>BL20-BL68</f>
        <v>0</v>
      </c>
      <c r="BM72" s="213">
        <f>BM20-BM68</f>
        <v>0</v>
      </c>
      <c r="BN72" s="213"/>
      <c r="BO72" s="213"/>
    </row>
    <row r="73" spans="1:6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Q73" s="1"/>
      <c r="R73" s="1"/>
      <c r="S73" s="1"/>
      <c r="T73" s="1"/>
      <c r="U73" s="1"/>
      <c r="V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68"/>
      <c r="BG73" s="1"/>
      <c r="BI73" s="1"/>
      <c r="BK73" s="8"/>
      <c r="BL73" s="1"/>
      <c r="BM73" s="1"/>
      <c r="BN73" s="1"/>
      <c r="BO73" s="1"/>
    </row>
    <row r="74" spans="1:67" ht="12.75">
      <c r="A74" s="4" t="s">
        <v>16</v>
      </c>
      <c r="B74" s="164">
        <f>B12-'Con P&amp;L'!C43</f>
        <v>0</v>
      </c>
      <c r="C74" s="164">
        <f>C12-'Con P&amp;L'!D43</f>
        <v>0</v>
      </c>
      <c r="D74" s="164">
        <f>D12-'Con P&amp;L'!E43</f>
        <v>0</v>
      </c>
      <c r="E74" s="164">
        <f>E12-'Con P&amp;L'!F43</f>
        <v>0</v>
      </c>
      <c r="F74" s="164">
        <v>0</v>
      </c>
      <c r="G74" s="164">
        <v>0</v>
      </c>
      <c r="H74" s="164">
        <f>H12-'Con P&amp;L'!I43</f>
        <v>0</v>
      </c>
      <c r="I74" s="164"/>
      <c r="J74" s="164"/>
      <c r="K74" s="164"/>
      <c r="L74" s="164">
        <f>L12-'Con P&amp;L'!M43</f>
        <v>0</v>
      </c>
      <c r="M74" s="164">
        <f>M12-'Con P&amp;L'!N43</f>
        <v>0</v>
      </c>
      <c r="N74" s="164">
        <f>N12-'Con P&amp;L'!O43</f>
        <v>0</v>
      </c>
      <c r="O74" s="164">
        <f>O12-'Con P&amp;L'!P43</f>
        <v>0</v>
      </c>
      <c r="P74" s="164">
        <f>P12-'Con P&amp;L'!Q43</f>
        <v>0</v>
      </c>
      <c r="Q74" s="164">
        <f>Q12-'Con P&amp;L'!R43</f>
        <v>0</v>
      </c>
      <c r="R74" s="164">
        <f>R12-'Con P&amp;L'!S43</f>
        <v>0</v>
      </c>
      <c r="S74" s="164">
        <f>S12-'Con P&amp;L'!T43</f>
        <v>0</v>
      </c>
      <c r="T74" s="164">
        <f>T12-'Con P&amp;L'!U43</f>
        <v>0</v>
      </c>
      <c r="U74" s="164">
        <f>U12-'Con P&amp;L'!V43</f>
        <v>0</v>
      </c>
      <c r="V74" s="164">
        <f>V12-'Con P&amp;L'!W43</f>
        <v>0</v>
      </c>
      <c r="W74" s="164">
        <f>W12-'Con P&amp;L'!X43</f>
        <v>0</v>
      </c>
      <c r="X74" s="164">
        <f>X12-'Con P&amp;L'!Y43</f>
        <v>0</v>
      </c>
      <c r="Y74" s="164">
        <f>Y12-'Con P&amp;L'!Z43</f>
        <v>0</v>
      </c>
      <c r="Z74" s="164">
        <f>Z12-'Con P&amp;L'!AA43</f>
        <v>0</v>
      </c>
      <c r="AA74" s="164">
        <f>AA12-'Con P&amp;L'!AB43</f>
        <v>0</v>
      </c>
      <c r="AB74" s="164"/>
      <c r="AC74" s="164"/>
      <c r="AD74" s="164"/>
      <c r="AE74" s="164">
        <f>AE12-'Con P&amp;L'!AE43</f>
        <v>0</v>
      </c>
      <c r="AF74" s="164">
        <f>AF12-'Con P&amp;L'!AF43</f>
        <v>0</v>
      </c>
      <c r="AG74" s="164">
        <f>AG12-'Con P&amp;L'!AG43</f>
        <v>0</v>
      </c>
      <c r="AH74" s="164">
        <f>AH12-'Con P&amp;L'!AH43</f>
        <v>0</v>
      </c>
      <c r="AI74" s="164">
        <f>AI12-'Con P&amp;L'!AI43</f>
        <v>0</v>
      </c>
      <c r="AJ74" s="164">
        <f>AJ12-'Con P&amp;L'!AJ43</f>
        <v>0</v>
      </c>
      <c r="AK74" s="164">
        <f>AK12-'Con P&amp;L'!AK43</f>
        <v>0</v>
      </c>
      <c r="AL74" s="164">
        <f>AL12-'Con P&amp;L'!AL43</f>
        <v>0</v>
      </c>
      <c r="AM74" s="164">
        <f>AM12-'Con P&amp;L'!AM43</f>
        <v>0</v>
      </c>
      <c r="AN74" s="164">
        <f>AN12-'Con P&amp;L'!AN43</f>
        <v>0</v>
      </c>
      <c r="AO74" s="164">
        <f>AO12-'Con P&amp;L'!AO43</f>
        <v>0</v>
      </c>
      <c r="AP74" s="164">
        <f>AP12-'Con P&amp;L'!AP43</f>
        <v>0</v>
      </c>
      <c r="AQ74" s="164">
        <f>AQ12-'Con P&amp;L'!AQ43</f>
        <v>0</v>
      </c>
      <c r="AR74" s="164"/>
      <c r="AS74" s="164"/>
      <c r="AT74" s="164"/>
      <c r="AU74" s="164">
        <f>AU12-'Con P&amp;L'!AT43</f>
        <v>0</v>
      </c>
      <c r="AV74" s="164">
        <f>AV12-'Con P&amp;L'!AU43</f>
        <v>0</v>
      </c>
      <c r="AW74" s="164">
        <f>AW12-'Con P&amp;L'!AV43</f>
        <v>0</v>
      </c>
      <c r="AX74" s="164">
        <f>AX12-'Con P&amp;L'!AW43</f>
        <v>0</v>
      </c>
      <c r="AY74" s="164">
        <f>AY12-'Con P&amp;L'!AX43</f>
        <v>0</v>
      </c>
      <c r="AZ74" s="164">
        <f>AZ12-'Con P&amp;L'!AY43</f>
        <v>0</v>
      </c>
      <c r="BA74" s="164">
        <f>BA12-'Con P&amp;L'!AZ43</f>
        <v>0</v>
      </c>
      <c r="BB74" s="164">
        <f>BB12-'Con P&amp;L'!BA43</f>
        <v>0</v>
      </c>
      <c r="BC74" s="164">
        <f>BC12-'Con P&amp;L'!BB43</f>
        <v>0</v>
      </c>
      <c r="BD74" s="164">
        <f>BD12-'Con P&amp;L'!BC43</f>
        <v>0</v>
      </c>
      <c r="BE74" s="164"/>
      <c r="BF74" s="195"/>
      <c r="BG74" s="164"/>
      <c r="BH74" s="164">
        <f>BH12-'Con P&amp;L'!BG43</f>
        <v>0</v>
      </c>
      <c r="BI74" s="164">
        <f>BI12-'Con P&amp;L'!BH43</f>
        <v>0</v>
      </c>
      <c r="BJ74" s="214">
        <f>BJ12-'Con P&amp;L'!BI43</f>
        <v>0</v>
      </c>
      <c r="BK74" s="164"/>
      <c r="BL74" s="164">
        <f>BL12-'Con P&amp;L'!BK43</f>
        <v>0</v>
      </c>
      <c r="BM74" s="164">
        <f>BM12-'Con P&amp;L'!BL43</f>
        <v>0</v>
      </c>
      <c r="BN74" s="113"/>
      <c r="BO74" s="113"/>
    </row>
    <row r="75" spans="2:67" ht="12.75"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95"/>
      <c r="BG75" s="164"/>
      <c r="BH75" s="164"/>
      <c r="BI75" s="164"/>
      <c r="BJ75" s="164"/>
      <c r="BK75" s="164"/>
      <c r="BL75" s="164"/>
      <c r="BM75" s="164"/>
      <c r="BN75" s="113"/>
      <c r="BO75" s="113"/>
    </row>
    <row r="77" spans="1:69" ht="16.5" customHeight="1">
      <c r="A77" s="41"/>
      <c r="B77" s="41"/>
      <c r="C77" s="41"/>
      <c r="D77" s="41"/>
      <c r="E77" s="41"/>
      <c r="F77" s="41"/>
      <c r="G77" s="41"/>
      <c r="H77" s="41"/>
      <c r="I77" s="203"/>
      <c r="J77" s="203"/>
      <c r="K77" s="41"/>
      <c r="L77" s="41"/>
      <c r="M77" s="41"/>
      <c r="N77" s="204"/>
      <c r="O77" s="203"/>
      <c r="P77" s="220"/>
      <c r="Q77" s="41"/>
      <c r="R77" s="41"/>
      <c r="S77" s="41"/>
      <c r="T77" s="204"/>
      <c r="U77" s="41"/>
      <c r="V77" s="41"/>
      <c r="W77" s="220"/>
      <c r="X77" s="41"/>
      <c r="Y77" s="41"/>
      <c r="Z77" s="41"/>
      <c r="AA77" s="41"/>
      <c r="AB77" s="203"/>
      <c r="AC77" s="41"/>
      <c r="AD77" s="41"/>
      <c r="AE77" s="41"/>
      <c r="AF77" s="41"/>
      <c r="AG77" s="41"/>
      <c r="AH77" s="41"/>
      <c r="AI77" s="203"/>
      <c r="AJ77" s="41"/>
      <c r="AK77" s="41"/>
      <c r="AL77" s="41"/>
      <c r="AM77" s="41"/>
      <c r="AN77" s="41"/>
      <c r="AO77" s="41"/>
      <c r="AP77" s="41"/>
      <c r="AQ77" s="41"/>
      <c r="AR77" s="203"/>
      <c r="AS77" s="41"/>
      <c r="AT77" s="41"/>
      <c r="AU77" s="41"/>
      <c r="AW77" s="41"/>
      <c r="AX77" s="41"/>
      <c r="AY77" s="203"/>
      <c r="AZ77" s="41"/>
      <c r="BA77" s="41"/>
      <c r="BB77" s="41"/>
      <c r="BC77" s="41"/>
      <c r="BD77" s="41"/>
      <c r="BE77" s="203"/>
      <c r="BF77" s="204"/>
      <c r="BG77" s="41"/>
      <c r="BH77" s="220"/>
      <c r="BI77" s="41"/>
      <c r="BJ77" s="220">
        <f>57000000</f>
        <v>57000000</v>
      </c>
      <c r="BK77" s="41"/>
      <c r="BL77" s="41"/>
      <c r="BM77" s="41"/>
      <c r="BN77" s="203"/>
      <c r="BO77" s="203"/>
      <c r="BQ77" s="37"/>
    </row>
    <row r="82" ht="12.75">
      <c r="D82" s="253"/>
    </row>
    <row r="85" spans="1:27" ht="12.75">
      <c r="A85" s="4" t="s">
        <v>297</v>
      </c>
      <c r="L85" s="164">
        <f>L48-'[2]Con B&amp;S'!L48</f>
        <v>-49135</v>
      </c>
      <c r="M85" s="164">
        <f>M48-'[2]Con B&amp;S'!M48</f>
        <v>-34745</v>
      </c>
      <c r="N85" s="164">
        <f>N48-'[2]Con B&amp;S'!N48</f>
        <v>0</v>
      </c>
      <c r="O85" s="164">
        <f>O48-'[2]Con B&amp;S'!O48</f>
        <v>0</v>
      </c>
      <c r="P85" s="164">
        <f>P48-'[2]Con B&amp;S'!P48</f>
        <v>-4932437.3100000005</v>
      </c>
      <c r="Q85" s="164">
        <f>Q48-'[2]Con B&amp;S'!Q48</f>
        <v>-2158784.79</v>
      </c>
      <c r="R85" s="164">
        <f>R48-'[2]Con B&amp;S'!R48</f>
        <v>10282804</v>
      </c>
      <c r="S85" s="164">
        <f>S48-'[2]Con B&amp;S'!S48</f>
        <v>0</v>
      </c>
      <c r="T85" s="164">
        <f>T48-'[2]Con B&amp;S'!T48</f>
        <v>-369194</v>
      </c>
      <c r="U85" s="164">
        <f>U48-'[2]Con B&amp;S'!U48</f>
        <v>-2600381.889999999</v>
      </c>
      <c r="V85" s="164">
        <f>V48-'[2]Con B&amp;S'!V48</f>
        <v>-1434636</v>
      </c>
      <c r="W85" s="164">
        <f>W48-'[2]Con B&amp;S'!W48</f>
        <v>0</v>
      </c>
      <c r="X85" s="164">
        <f>X48-'[2]Con B&amp;S'!X48</f>
        <v>0</v>
      </c>
      <c r="Y85" s="164">
        <f>Y48-'[2]Con B&amp;S'!Y48</f>
        <v>0</v>
      </c>
      <c r="Z85" s="164">
        <f>Z48-'[2]Con B&amp;S'!Z48</f>
        <v>0</v>
      </c>
      <c r="AA85" s="164">
        <f>AA48-'[2]Con B&amp;S'!AA48</f>
        <v>-1296509.9899999946</v>
      </c>
    </row>
    <row r="88" spans="1:62" ht="12.75">
      <c r="A88" s="4" t="s">
        <v>213</v>
      </c>
      <c r="B88" s="164">
        <f>SUM(B22:B28,B42)</f>
        <v>235286938</v>
      </c>
      <c r="C88" s="164">
        <f>SUM(C22:C28,C42)</f>
        <v>488147101.5</v>
      </c>
      <c r="D88" s="164">
        <f>SUM(D22:D28,D42)</f>
        <v>49990684.76</v>
      </c>
      <c r="E88" s="164">
        <f>SUM(E22:E28,E42)</f>
        <v>773424724.26</v>
      </c>
      <c r="F88" s="164">
        <v>224892745.678</v>
      </c>
      <c r="G88" s="164">
        <v>259466836</v>
      </c>
      <c r="H88" s="164">
        <f>SUM(H22:H28,H42)</f>
        <v>610279719.618</v>
      </c>
      <c r="L88" s="164">
        <f aca="true" t="shared" si="58" ref="L88:AA88">SUM(L22:L28,L42)</f>
        <v>46612818</v>
      </c>
      <c r="M88" s="164">
        <f t="shared" si="58"/>
        <v>108437927</v>
      </c>
      <c r="N88" s="164">
        <f t="shared" si="58"/>
        <v>18202983</v>
      </c>
      <c r="O88" s="164">
        <f t="shared" si="58"/>
        <v>418297</v>
      </c>
      <c r="P88" s="164">
        <f t="shared" si="58"/>
        <v>9806602</v>
      </c>
      <c r="Q88" s="164">
        <f t="shared" si="58"/>
        <v>1335340</v>
      </c>
      <c r="R88" s="164">
        <f t="shared" si="58"/>
        <v>163268184</v>
      </c>
      <c r="S88" s="164">
        <f t="shared" si="58"/>
        <v>1007364.5</v>
      </c>
      <c r="T88" s="164">
        <f t="shared" si="58"/>
        <v>2801698</v>
      </c>
      <c r="U88" s="164">
        <f t="shared" si="58"/>
        <v>4296445.24</v>
      </c>
      <c r="V88" s="164">
        <f t="shared" si="58"/>
        <v>77577887</v>
      </c>
      <c r="W88" s="164">
        <f t="shared" si="58"/>
        <v>32793283</v>
      </c>
      <c r="X88" s="164">
        <f t="shared" si="58"/>
        <v>527218</v>
      </c>
      <c r="Y88" s="164">
        <f t="shared" si="58"/>
        <v>15270291.380000003</v>
      </c>
      <c r="Z88" s="164">
        <f t="shared" si="58"/>
        <v>5790763.38</v>
      </c>
      <c r="AA88" s="164">
        <f t="shared" si="58"/>
        <v>488147101.5</v>
      </c>
      <c r="AE88" s="164">
        <f aca="true" t="shared" si="59" ref="AE88:AQ88">SUM(AE22:AE28,AE42)</f>
        <v>84812.76</v>
      </c>
      <c r="AF88" s="164">
        <f t="shared" si="59"/>
        <v>19.2</v>
      </c>
      <c r="AG88" s="164">
        <f t="shared" si="59"/>
        <v>7240431.75</v>
      </c>
      <c r="AH88" s="164">
        <f t="shared" si="59"/>
        <v>2207602.4</v>
      </c>
      <c r="AI88" s="164">
        <f t="shared" si="59"/>
        <v>2</v>
      </c>
      <c r="AJ88" s="164">
        <f t="shared" si="59"/>
        <v>2</v>
      </c>
      <c r="AK88" s="164">
        <f t="shared" si="59"/>
        <v>2.5</v>
      </c>
      <c r="AL88" s="164">
        <f t="shared" si="59"/>
        <v>2.5</v>
      </c>
      <c r="AM88" s="164">
        <f t="shared" si="59"/>
        <v>7083.2</v>
      </c>
      <c r="AN88" s="164">
        <f t="shared" si="59"/>
        <v>2209828.85</v>
      </c>
      <c r="AO88" s="164">
        <f t="shared" si="59"/>
        <v>425002</v>
      </c>
      <c r="AP88" s="164">
        <f t="shared" si="59"/>
        <v>3095502.22</v>
      </c>
      <c r="AQ88" s="164">
        <f t="shared" si="59"/>
        <v>15270291.380000003</v>
      </c>
      <c r="AU88" s="164">
        <f>SUM(AU22:AU28,AU42)</f>
        <v>5382896.88</v>
      </c>
      <c r="AW88" s="164">
        <f aca="true" t="shared" si="60" ref="AW88:BD88">SUM(AW22:AW28,AW42)</f>
        <v>3</v>
      </c>
      <c r="AX88" s="164">
        <f t="shared" si="60"/>
        <v>2</v>
      </c>
      <c r="AY88" s="164">
        <f t="shared" si="60"/>
        <v>2</v>
      </c>
      <c r="AZ88" s="164">
        <f t="shared" si="60"/>
        <v>0</v>
      </c>
      <c r="BA88" s="164">
        <f t="shared" si="60"/>
        <v>2</v>
      </c>
      <c r="BB88" s="164">
        <f t="shared" si="60"/>
        <v>2</v>
      </c>
      <c r="BC88" s="164">
        <f t="shared" si="60"/>
        <v>397948.5</v>
      </c>
      <c r="BD88" s="164">
        <f t="shared" si="60"/>
        <v>5790763.38</v>
      </c>
      <c r="BG88" s="164">
        <f>SUM(BG22:BG28,BG42)</f>
        <v>0</v>
      </c>
      <c r="BH88" s="164">
        <f>SUM(BH22:BH28,BH42)</f>
        <v>212491.48999999996</v>
      </c>
      <c r="BI88" s="164">
        <f>SUM(BI22:BI28,BI42)</f>
        <v>3777839</v>
      </c>
      <c r="BJ88" s="164">
        <f>SUM(BJ22:BJ28,BJ42)</f>
        <v>46000354.27</v>
      </c>
    </row>
    <row r="90" ht="12.75">
      <c r="A90" s="384" t="s">
        <v>71</v>
      </c>
    </row>
    <row r="91" spans="1:2" ht="12.75">
      <c r="A91" s="4" t="s">
        <v>209</v>
      </c>
      <c r="B91" s="164">
        <f>P88+R88+V88</f>
        <v>250652673</v>
      </c>
    </row>
    <row r="92" spans="1:2" ht="12.75">
      <c r="A92" s="4" t="s">
        <v>214</v>
      </c>
      <c r="B92" s="164">
        <f>B96-B91-B93-B94-B95</f>
        <v>336098393.128</v>
      </c>
    </row>
    <row r="93" spans="1:2" ht="12.75">
      <c r="A93" s="4" t="s">
        <v>210</v>
      </c>
      <c r="B93" s="164">
        <f>BI88</f>
        <v>3777839</v>
      </c>
    </row>
    <row r="94" spans="1:2" ht="12.75">
      <c r="A94" s="4" t="s">
        <v>211</v>
      </c>
      <c r="B94" s="164">
        <f>N88</f>
        <v>18202983</v>
      </c>
    </row>
    <row r="95" spans="1:3" ht="12.75">
      <c r="A95" s="4" t="s">
        <v>188</v>
      </c>
      <c r="B95" s="164">
        <f>BH88+Q88</f>
        <v>1547831.49</v>
      </c>
      <c r="C95" s="164"/>
    </row>
    <row r="96" ht="12.75">
      <c r="B96" s="252">
        <f>H88</f>
        <v>610279719.618</v>
      </c>
    </row>
    <row r="97" ht="12.75">
      <c r="B97" s="164"/>
    </row>
    <row r="99" spans="1:65" ht="12.75">
      <c r="A99" s="4" t="s">
        <v>101</v>
      </c>
      <c r="B99" s="164">
        <f>B50</f>
        <v>279962071</v>
      </c>
      <c r="C99" s="164">
        <f>C50</f>
        <v>253233895.26</v>
      </c>
      <c r="D99" s="164">
        <f>D50</f>
        <v>80648690.28999999</v>
      </c>
      <c r="E99" s="164">
        <f>E50</f>
        <v>613844656.55</v>
      </c>
      <c r="F99" s="164">
        <v>0</v>
      </c>
      <c r="G99" s="164">
        <v>0</v>
      </c>
      <c r="H99" s="164">
        <f>H50</f>
        <v>613844656.55</v>
      </c>
      <c r="I99" s="164"/>
      <c r="J99" s="164">
        <f aca="true" t="shared" si="61" ref="J99:AU99">J50</f>
        <v>0</v>
      </c>
      <c r="K99" s="164" t="str">
        <f t="shared" si="61"/>
        <v>     Term Loans</v>
      </c>
      <c r="L99" s="164">
        <f t="shared" si="61"/>
        <v>0</v>
      </c>
      <c r="M99" s="164">
        <f t="shared" si="61"/>
        <v>0</v>
      </c>
      <c r="N99" s="164">
        <f t="shared" si="61"/>
        <v>81083333</v>
      </c>
      <c r="O99" s="164">
        <f t="shared" si="61"/>
        <v>0</v>
      </c>
      <c r="P99" s="164">
        <f t="shared" si="61"/>
        <v>0</v>
      </c>
      <c r="Q99" s="164">
        <f t="shared" si="61"/>
        <v>0</v>
      </c>
      <c r="R99" s="164">
        <f t="shared" si="61"/>
        <v>116694877</v>
      </c>
      <c r="S99" s="164">
        <f t="shared" si="61"/>
        <v>0</v>
      </c>
      <c r="T99" s="164">
        <f t="shared" si="61"/>
        <v>0</v>
      </c>
      <c r="U99" s="164">
        <f t="shared" si="61"/>
        <v>0</v>
      </c>
      <c r="V99" s="164">
        <f t="shared" si="61"/>
        <v>53091489</v>
      </c>
      <c r="W99" s="164">
        <f t="shared" si="61"/>
        <v>0</v>
      </c>
      <c r="X99" s="164">
        <f t="shared" si="61"/>
        <v>0</v>
      </c>
      <c r="Y99" s="164">
        <f t="shared" si="61"/>
        <v>2364196.26</v>
      </c>
      <c r="Z99" s="164">
        <f t="shared" si="61"/>
        <v>0</v>
      </c>
      <c r="AA99" s="164">
        <f t="shared" si="61"/>
        <v>253233895.26</v>
      </c>
      <c r="AB99" s="164">
        <f t="shared" si="61"/>
        <v>0</v>
      </c>
      <c r="AC99" s="164">
        <f t="shared" si="61"/>
        <v>0</v>
      </c>
      <c r="AD99" s="164" t="str">
        <f t="shared" si="61"/>
        <v>     Term Loans</v>
      </c>
      <c r="AE99" s="164">
        <f t="shared" si="61"/>
        <v>0</v>
      </c>
      <c r="AF99" s="164">
        <f t="shared" si="61"/>
        <v>0</v>
      </c>
      <c r="AG99" s="164">
        <f t="shared" si="61"/>
        <v>0</v>
      </c>
      <c r="AH99" s="164">
        <f t="shared" si="61"/>
        <v>2364196.26</v>
      </c>
      <c r="AI99" s="164">
        <f t="shared" si="61"/>
        <v>0</v>
      </c>
      <c r="AJ99" s="164">
        <f t="shared" si="61"/>
        <v>0</v>
      </c>
      <c r="AK99" s="164">
        <f t="shared" si="61"/>
        <v>0</v>
      </c>
      <c r="AL99" s="164">
        <f t="shared" si="61"/>
        <v>0</v>
      </c>
      <c r="AM99" s="164">
        <f t="shared" si="61"/>
        <v>0</v>
      </c>
      <c r="AN99" s="164">
        <f t="shared" si="61"/>
        <v>0</v>
      </c>
      <c r="AO99" s="164">
        <f t="shared" si="61"/>
        <v>0</v>
      </c>
      <c r="AP99" s="164">
        <f t="shared" si="61"/>
        <v>0</v>
      </c>
      <c r="AQ99" s="164">
        <f t="shared" si="61"/>
        <v>2364196.26</v>
      </c>
      <c r="AR99" s="164">
        <f t="shared" si="61"/>
        <v>0</v>
      </c>
      <c r="AS99" s="164">
        <f t="shared" si="61"/>
        <v>0</v>
      </c>
      <c r="AT99" s="164" t="str">
        <f t="shared" si="61"/>
        <v>     Term Loans</v>
      </c>
      <c r="AU99" s="164">
        <f t="shared" si="61"/>
        <v>0</v>
      </c>
      <c r="AW99" s="164">
        <f aca="true" t="shared" si="62" ref="AW99:BM99">AW50</f>
        <v>0</v>
      </c>
      <c r="AX99" s="164">
        <f t="shared" si="62"/>
        <v>0</v>
      </c>
      <c r="AY99" s="164">
        <f t="shared" si="62"/>
        <v>0</v>
      </c>
      <c r="AZ99" s="164">
        <f t="shared" si="62"/>
        <v>0</v>
      </c>
      <c r="BA99" s="164">
        <f t="shared" si="62"/>
        <v>0</v>
      </c>
      <c r="BB99" s="164">
        <f t="shared" si="62"/>
        <v>0</v>
      </c>
      <c r="BC99" s="164">
        <f t="shared" si="62"/>
        <v>0</v>
      </c>
      <c r="BD99" s="164">
        <f t="shared" si="62"/>
        <v>0</v>
      </c>
      <c r="BE99" s="164">
        <f t="shared" si="62"/>
        <v>0</v>
      </c>
      <c r="BF99" s="164">
        <f t="shared" si="62"/>
        <v>0</v>
      </c>
      <c r="BG99" s="164" t="str">
        <f t="shared" si="62"/>
        <v>     Term Loans</v>
      </c>
      <c r="BH99" s="164">
        <f t="shared" si="62"/>
        <v>176962</v>
      </c>
      <c r="BI99" s="164">
        <f t="shared" si="62"/>
        <v>303877</v>
      </c>
      <c r="BJ99" s="164">
        <f t="shared" si="62"/>
        <v>80167851.28999999</v>
      </c>
      <c r="BK99" s="164">
        <f t="shared" si="62"/>
        <v>0</v>
      </c>
      <c r="BL99" s="164">
        <f t="shared" si="62"/>
        <v>0</v>
      </c>
      <c r="BM99" s="164">
        <f t="shared" si="62"/>
        <v>80648690.28999999</v>
      </c>
    </row>
    <row r="100" spans="1:67" s="176" customFormat="1" ht="12.75">
      <c r="A100" s="217" t="s">
        <v>417</v>
      </c>
      <c r="B100" s="29">
        <f>89015210</f>
        <v>89015210</v>
      </c>
      <c r="C100" s="217"/>
      <c r="D100" s="217"/>
      <c r="E100" s="164">
        <f>E51</f>
        <v>462366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119"/>
      <c r="Q100" s="217"/>
      <c r="R100" s="217">
        <f>19546968.19+494354.85+7161340.2+2378845.56</f>
        <v>29581508.8</v>
      </c>
      <c r="S100" s="217"/>
      <c r="T100" s="217"/>
      <c r="U100" s="217"/>
      <c r="V100" s="217"/>
      <c r="W100" s="119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4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8"/>
      <c r="BG100" s="217"/>
      <c r="BH100" s="119"/>
      <c r="BI100" s="217"/>
      <c r="BJ100" s="119">
        <v>12804890.04</v>
      </c>
      <c r="BK100" s="217"/>
      <c r="BL100" s="217"/>
      <c r="BM100" s="217"/>
      <c r="BN100" s="217"/>
      <c r="BO100" s="217"/>
    </row>
    <row r="101" ht="12.75">
      <c r="BJ101" s="177"/>
    </row>
    <row r="102" ht="12.75">
      <c r="A102" s="4" t="s">
        <v>103</v>
      </c>
    </row>
    <row r="103" spans="1:3" ht="12.75">
      <c r="A103" s="4" t="s">
        <v>104</v>
      </c>
      <c r="C103" s="214">
        <f>12500000+2378845.56</f>
        <v>14878845.56</v>
      </c>
    </row>
    <row r="104" spans="1:3" ht="12.75">
      <c r="A104" s="4" t="s">
        <v>270</v>
      </c>
      <c r="C104" s="214">
        <v>2804982.9</v>
      </c>
    </row>
    <row r="105" ht="12.75">
      <c r="A105" s="4" t="s">
        <v>105</v>
      </c>
    </row>
    <row r="106" spans="1:3" ht="12.75">
      <c r="A106" s="4" t="s">
        <v>106</v>
      </c>
      <c r="C106" s="214">
        <v>1746777.21</v>
      </c>
    </row>
    <row r="107" spans="1:3" ht="12.75">
      <c r="A107" s="4" t="s">
        <v>107</v>
      </c>
      <c r="C107" s="214">
        <v>2393628.94</v>
      </c>
    </row>
    <row r="108" spans="1:3" ht="12.75">
      <c r="A108" s="4" t="s">
        <v>108</v>
      </c>
      <c r="C108" s="214">
        <v>5712655</v>
      </c>
    </row>
    <row r="109" spans="1:3" ht="12.75">
      <c r="A109" s="4" t="s">
        <v>109</v>
      </c>
      <c r="C109" s="214">
        <v>12544260.66</v>
      </c>
    </row>
    <row r="110" spans="1:3" ht="12.75">
      <c r="A110" s="4" t="s">
        <v>110</v>
      </c>
      <c r="C110" s="214">
        <v>3574430.816986301</v>
      </c>
    </row>
    <row r="111" ht="12.75">
      <c r="C111" s="388">
        <f>SUM(C103:C110)</f>
        <v>43655581.0869863</v>
      </c>
    </row>
    <row r="113" ht="12.75">
      <c r="A113" s="4" t="s">
        <v>205</v>
      </c>
    </row>
    <row r="122" ht="12.75">
      <c r="A122" s="4" t="s">
        <v>293</v>
      </c>
    </row>
    <row r="123" spans="1:2" ht="12.75">
      <c r="A123" s="4" t="s">
        <v>294</v>
      </c>
      <c r="B123" s="164">
        <f>B100</f>
        <v>89015210</v>
      </c>
    </row>
    <row r="124" spans="1:2" ht="12.75">
      <c r="A124" s="4" t="s">
        <v>295</v>
      </c>
      <c r="B124" s="251">
        <f>R100</f>
        <v>29581508.8</v>
      </c>
    </row>
    <row r="125" spans="1:2" ht="12.75">
      <c r="A125" s="4" t="s">
        <v>296</v>
      </c>
      <c r="B125" s="251">
        <f>BJ100</f>
        <v>12804890.04</v>
      </c>
    </row>
    <row r="126" ht="12.75">
      <c r="B126" s="252">
        <f>SUM(B123:B125)</f>
        <v>131401608.84</v>
      </c>
    </row>
  </sheetData>
  <mergeCells count="1">
    <mergeCell ref="C5:D5"/>
  </mergeCells>
  <printOptions/>
  <pageMargins left="0.74" right="0.61" top="0.5" bottom="0.5" header="0.27" footer="0.25"/>
  <pageSetup horizontalDpi="180" verticalDpi="180" orientation="landscape" paperSize="9" scale="45" r:id="rId3"/>
  <headerFooter alignWithMargins="0">
    <oddFooter>&amp;L&amp;"Times New Roman,Regular"&amp;8&amp;F   &amp;A&amp;C&amp;"Times New Roman,Regular"&amp;8&amp;P&amp;R&amp;"Times New Roman,Regular"&amp;8&amp;D   &amp;T</oddFooter>
  </headerFooter>
  <colBreaks count="4" manualBreakCount="4">
    <brk id="10" max="65535" man="1"/>
    <brk id="29" max="65535" man="1"/>
    <brk id="45" max="65535" man="1"/>
    <brk id="5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S166"/>
  <sheetViews>
    <sheetView showGridLines="0" zoomScale="75" zoomScaleNormal="75" workbookViewId="0" topLeftCell="A1">
      <pane xSplit="2" ySplit="6" topLeftCell="C3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56" sqref="H56"/>
    </sheetView>
  </sheetViews>
  <sheetFormatPr defaultColWidth="9.7109375" defaultRowHeight="12.75"/>
  <cols>
    <col min="1" max="1" width="3.140625" style="50" customWidth="1"/>
    <col min="2" max="2" width="49.7109375" style="0" customWidth="1"/>
    <col min="3" max="10" width="12.7109375" style="50" customWidth="1"/>
    <col min="11" max="11" width="8.7109375" style="50" customWidth="1"/>
    <col min="12" max="12" width="50.7109375" style="50" customWidth="1"/>
    <col min="13" max="28" width="12.7109375" style="50" customWidth="1"/>
    <col min="29" max="29" width="6.7109375" style="50" customWidth="1"/>
    <col min="30" max="30" width="50.7109375" style="50" customWidth="1"/>
    <col min="31" max="43" width="12.7109375" style="50" customWidth="1"/>
    <col min="44" max="44" width="6.7109375" style="50" customWidth="1"/>
    <col min="45" max="45" width="50.7109375" style="50" customWidth="1"/>
    <col min="46" max="55" width="12.7109375" style="50" customWidth="1"/>
    <col min="56" max="56" width="6.7109375" style="50" customWidth="1"/>
    <col min="57" max="57" width="6.7109375" style="129" customWidth="1"/>
    <col min="58" max="58" width="50.7109375" style="50" customWidth="1"/>
    <col min="59" max="64" width="12.7109375" style="50" customWidth="1"/>
    <col min="65" max="65" width="5.8515625" style="50" customWidth="1"/>
    <col min="66" max="66" width="6.7109375" style="50" customWidth="1"/>
    <col min="67" max="67" width="50.7109375" style="50" customWidth="1"/>
    <col min="68" max="69" width="12.7109375" style="50" customWidth="1"/>
    <col min="70" max="70" width="16.8515625" style="50" bestFit="1" customWidth="1"/>
    <col min="71" max="16384" width="9.7109375" style="50" customWidth="1"/>
  </cols>
  <sheetData>
    <row r="1" spans="1:71" s="106" customFormat="1" ht="18" customHeight="1">
      <c r="A1" s="104" t="s">
        <v>328</v>
      </c>
      <c r="C1" s="166"/>
      <c r="D1" s="166"/>
      <c r="E1" s="105"/>
      <c r="F1" s="105"/>
      <c r="G1" s="105"/>
      <c r="H1" s="105"/>
      <c r="I1" s="105"/>
      <c r="J1" s="105"/>
      <c r="K1" s="105"/>
      <c r="L1" s="104" t="s">
        <v>328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4" t="s">
        <v>328</v>
      </c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12" t="s">
        <v>128</v>
      </c>
      <c r="AR1" s="105"/>
      <c r="AS1" s="104" t="s">
        <v>328</v>
      </c>
      <c r="AT1" s="105"/>
      <c r="AU1" s="105"/>
      <c r="AV1" s="105"/>
      <c r="AW1" s="105"/>
      <c r="AX1" s="105"/>
      <c r="AY1" s="105"/>
      <c r="AZ1" s="105"/>
      <c r="BA1" s="105"/>
      <c r="BB1" s="105"/>
      <c r="BC1" s="112" t="s">
        <v>129</v>
      </c>
      <c r="BD1" s="105"/>
      <c r="BE1" s="167"/>
      <c r="BF1" s="104" t="s">
        <v>328</v>
      </c>
      <c r="BG1" s="105"/>
      <c r="BH1" s="104"/>
      <c r="BI1" s="105"/>
      <c r="BJ1" s="105"/>
      <c r="BK1" s="105"/>
      <c r="BL1" s="105"/>
      <c r="BM1" s="105"/>
      <c r="BN1" s="105"/>
      <c r="BO1" s="104" t="s">
        <v>328</v>
      </c>
      <c r="BP1" s="105"/>
      <c r="BQ1" s="105"/>
      <c r="BR1" s="173">
        <f>-62853887</f>
        <v>-62853887</v>
      </c>
      <c r="BS1" s="174">
        <f>BR1/30030000</f>
        <v>-2.0930365301365303</v>
      </c>
    </row>
    <row r="2" spans="1:70" s="109" customFormat="1" ht="18" customHeight="1">
      <c r="A2" s="104" t="s">
        <v>454</v>
      </c>
      <c r="C2" s="186"/>
      <c r="D2" s="186"/>
      <c r="E2" s="107"/>
      <c r="F2" s="205"/>
      <c r="G2" s="107"/>
      <c r="H2" s="107"/>
      <c r="I2" s="107"/>
      <c r="J2" s="107"/>
      <c r="K2" s="107"/>
      <c r="L2" s="108" t="s">
        <v>428</v>
      </c>
      <c r="M2" s="107"/>
      <c r="N2" s="107"/>
      <c r="O2" s="107"/>
      <c r="P2" s="107"/>
      <c r="Q2" s="107"/>
      <c r="R2" s="107"/>
      <c r="S2" s="138"/>
      <c r="T2" s="138"/>
      <c r="U2" s="107"/>
      <c r="V2" s="107"/>
      <c r="W2" s="107"/>
      <c r="X2" s="107"/>
      <c r="Y2" s="107"/>
      <c r="Z2" s="107"/>
      <c r="AA2" s="107"/>
      <c r="AB2" s="107"/>
      <c r="AC2" s="107"/>
      <c r="AD2" s="108" t="s">
        <v>429</v>
      </c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8" t="s">
        <v>430</v>
      </c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78"/>
      <c r="BF2" s="108" t="s">
        <v>431</v>
      </c>
      <c r="BG2" s="107"/>
      <c r="BH2" s="108"/>
      <c r="BI2" s="104"/>
      <c r="BJ2" s="107"/>
      <c r="BK2" s="107"/>
      <c r="BL2" s="107"/>
      <c r="BM2" s="107"/>
      <c r="BN2" s="107"/>
      <c r="BO2" s="108" t="s">
        <v>264</v>
      </c>
      <c r="BP2" s="107"/>
      <c r="BQ2" s="107" t="s">
        <v>38</v>
      </c>
      <c r="BR2" s="175">
        <v>2.09303654</v>
      </c>
    </row>
    <row r="3" spans="1:69" s="109" customFormat="1" ht="18" customHeight="1">
      <c r="A3" s="104" t="s">
        <v>399</v>
      </c>
      <c r="C3" s="107"/>
      <c r="D3" s="107"/>
      <c r="E3" s="107"/>
      <c r="F3" s="205"/>
      <c r="G3" s="107"/>
      <c r="H3" s="107"/>
      <c r="I3" s="107"/>
      <c r="J3" s="107"/>
      <c r="K3" s="107"/>
      <c r="L3" s="110" t="str">
        <f>A3</f>
        <v>For the Year Ended 30th June 2000</v>
      </c>
      <c r="M3" s="404"/>
      <c r="N3" s="107" t="s">
        <v>455</v>
      </c>
      <c r="O3" s="107"/>
      <c r="P3" s="107"/>
      <c r="Q3" s="107"/>
      <c r="R3" s="107"/>
      <c r="S3" s="68"/>
      <c r="T3" s="68"/>
      <c r="U3" s="107"/>
      <c r="V3" s="107"/>
      <c r="W3" s="107"/>
      <c r="X3" s="107"/>
      <c r="Y3" s="107"/>
      <c r="Z3" s="107"/>
      <c r="AA3" s="107"/>
      <c r="AB3" s="107"/>
      <c r="AC3" s="107"/>
      <c r="AD3" s="110" t="str">
        <f>A3</f>
        <v>For the Year Ended 30th June 2000</v>
      </c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10" t="str">
        <f>A3</f>
        <v>For the Year Ended 30th June 2000</v>
      </c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78"/>
      <c r="BF3" s="110" t="str">
        <f>A3</f>
        <v>For the Year Ended 30th June 2000</v>
      </c>
      <c r="BG3" s="107"/>
      <c r="BH3" s="107"/>
      <c r="BI3" s="107"/>
      <c r="BJ3" s="107"/>
      <c r="BK3" s="107"/>
      <c r="BL3" s="107"/>
      <c r="BM3" s="107"/>
      <c r="BN3" s="107"/>
      <c r="BO3" s="110" t="str">
        <f>AD3</f>
        <v>For the Year Ended 30th June 2000</v>
      </c>
      <c r="BP3" s="107"/>
      <c r="BQ3" s="107"/>
    </row>
    <row r="4" spans="1:69" s="191" customFormat="1" ht="18" customHeight="1">
      <c r="A4" s="187"/>
      <c r="C4" s="424"/>
      <c r="D4" s="187"/>
      <c r="E4" s="187"/>
      <c r="F4" s="187"/>
      <c r="G4" s="187"/>
      <c r="H4" s="188"/>
      <c r="I4" s="189"/>
      <c r="J4" s="187"/>
      <c r="K4" s="187"/>
      <c r="L4" s="187"/>
      <c r="M4" s="424"/>
      <c r="N4" s="404"/>
      <c r="O4" s="424"/>
      <c r="P4" s="424"/>
      <c r="Q4" s="183"/>
      <c r="R4" s="428"/>
      <c r="S4" s="429"/>
      <c r="T4" s="424"/>
      <c r="U4" s="187"/>
      <c r="V4" s="424"/>
      <c r="W4" s="424"/>
      <c r="X4" s="183"/>
      <c r="Y4" s="424"/>
      <c r="Z4" s="184" t="s">
        <v>128</v>
      </c>
      <c r="AA4" s="184" t="s">
        <v>129</v>
      </c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429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426"/>
      <c r="AZ4" s="426"/>
      <c r="BA4" s="426"/>
      <c r="BB4" s="187"/>
      <c r="BC4" s="187"/>
      <c r="BD4" s="187"/>
      <c r="BE4" s="187"/>
      <c r="BF4" s="187"/>
      <c r="BG4" s="183"/>
      <c r="BH4" s="187"/>
      <c r="BI4" s="430"/>
      <c r="BJ4" s="190"/>
      <c r="BK4" s="187"/>
      <c r="BL4" s="187"/>
      <c r="BM4" s="187"/>
      <c r="BN4" s="187"/>
      <c r="BO4" s="187"/>
      <c r="BP4" s="187"/>
      <c r="BQ4" s="187"/>
    </row>
    <row r="5" spans="1:69" s="49" customFormat="1" ht="15.75" customHeight="1">
      <c r="A5" s="51"/>
      <c r="B5" s="224"/>
      <c r="C5" s="52" t="s">
        <v>21</v>
      </c>
      <c r="D5" s="53" t="s">
        <v>334</v>
      </c>
      <c r="E5" s="54"/>
      <c r="F5" s="55"/>
      <c r="G5" s="55"/>
      <c r="H5" s="55"/>
      <c r="I5" s="56"/>
      <c r="J5" s="57"/>
      <c r="K5" s="57"/>
      <c r="L5" s="51"/>
      <c r="M5" s="52" t="s">
        <v>335</v>
      </c>
      <c r="N5" s="52" t="s">
        <v>335</v>
      </c>
      <c r="O5" s="59" t="s">
        <v>337</v>
      </c>
      <c r="P5" s="59" t="s">
        <v>337</v>
      </c>
      <c r="Q5" s="159" t="s">
        <v>338</v>
      </c>
      <c r="R5" s="59" t="s">
        <v>338</v>
      </c>
      <c r="S5" s="59" t="s">
        <v>336</v>
      </c>
      <c r="T5" s="59" t="s">
        <v>345</v>
      </c>
      <c r="U5" s="59" t="s">
        <v>352</v>
      </c>
      <c r="V5" s="59" t="s">
        <v>341</v>
      </c>
      <c r="W5" s="59" t="s">
        <v>340</v>
      </c>
      <c r="X5" s="159" t="s">
        <v>350</v>
      </c>
      <c r="Y5" s="59" t="s">
        <v>339</v>
      </c>
      <c r="Z5" s="59" t="s">
        <v>342</v>
      </c>
      <c r="AA5" s="59" t="s">
        <v>342</v>
      </c>
      <c r="AB5" s="59"/>
      <c r="AC5" s="57"/>
      <c r="AD5" s="51"/>
      <c r="AE5" s="52" t="s">
        <v>343</v>
      </c>
      <c r="AF5" s="52" t="s">
        <v>344</v>
      </c>
      <c r="AG5" s="52" t="s">
        <v>344</v>
      </c>
      <c r="AH5" s="52" t="s">
        <v>344</v>
      </c>
      <c r="AI5" s="52" t="s">
        <v>344</v>
      </c>
      <c r="AJ5" s="52" t="s">
        <v>344</v>
      </c>
      <c r="AK5" s="52" t="s">
        <v>344</v>
      </c>
      <c r="AL5" s="52" t="s">
        <v>344</v>
      </c>
      <c r="AM5" s="52" t="s">
        <v>335</v>
      </c>
      <c r="AN5" s="59" t="s">
        <v>346</v>
      </c>
      <c r="AO5" s="59" t="s">
        <v>347</v>
      </c>
      <c r="AP5" s="59" t="s">
        <v>348</v>
      </c>
      <c r="AQ5" s="59"/>
      <c r="AR5" s="57"/>
      <c r="AS5" s="51"/>
      <c r="AT5" s="60" t="s">
        <v>349</v>
      </c>
      <c r="AU5" s="59" t="s">
        <v>140</v>
      </c>
      <c r="AV5" s="59" t="s">
        <v>350</v>
      </c>
      <c r="AW5" s="59" t="s">
        <v>350</v>
      </c>
      <c r="AX5" s="59" t="s">
        <v>351</v>
      </c>
      <c r="AY5" s="59" t="s">
        <v>338</v>
      </c>
      <c r="AZ5" s="59" t="s">
        <v>338</v>
      </c>
      <c r="BA5" s="59" t="s">
        <v>338</v>
      </c>
      <c r="BB5" s="59" t="s">
        <v>353</v>
      </c>
      <c r="BC5" s="59"/>
      <c r="BD5" s="57"/>
      <c r="BE5" s="286"/>
      <c r="BF5" s="51"/>
      <c r="BG5" s="159" t="s">
        <v>291</v>
      </c>
      <c r="BH5" s="59" t="s">
        <v>354</v>
      </c>
      <c r="BI5" s="59" t="s">
        <v>422</v>
      </c>
      <c r="BJ5" s="61"/>
      <c r="BK5" s="59"/>
      <c r="BL5" s="59"/>
      <c r="BM5" s="62"/>
      <c r="BN5" s="62"/>
      <c r="BO5" s="51"/>
      <c r="BP5" s="52" t="s">
        <v>453</v>
      </c>
      <c r="BQ5" s="52" t="s">
        <v>453</v>
      </c>
    </row>
    <row r="6" spans="1:69" s="49" customFormat="1" ht="16.5" customHeight="1">
      <c r="A6" s="226" t="s">
        <v>432</v>
      </c>
      <c r="B6" s="257"/>
      <c r="C6" s="64" t="s">
        <v>22</v>
      </c>
      <c r="D6" s="65" t="s">
        <v>356</v>
      </c>
      <c r="E6" s="65" t="s">
        <v>357</v>
      </c>
      <c r="F6" s="65" t="s">
        <v>372</v>
      </c>
      <c r="G6" s="65" t="s">
        <v>359</v>
      </c>
      <c r="H6" s="65" t="s">
        <v>360</v>
      </c>
      <c r="I6" s="64" t="s">
        <v>361</v>
      </c>
      <c r="J6" s="57"/>
      <c r="K6" s="57"/>
      <c r="L6" s="63" t="s">
        <v>432</v>
      </c>
      <c r="M6" s="64" t="s">
        <v>362</v>
      </c>
      <c r="N6" s="64" t="s">
        <v>363</v>
      </c>
      <c r="O6" s="65" t="s">
        <v>370</v>
      </c>
      <c r="P6" s="65" t="s">
        <v>366</v>
      </c>
      <c r="Q6" s="160" t="s">
        <v>421</v>
      </c>
      <c r="R6" s="65" t="s">
        <v>367</v>
      </c>
      <c r="S6" s="65" t="s">
        <v>364</v>
      </c>
      <c r="T6" s="65" t="s">
        <v>380</v>
      </c>
      <c r="U6" s="65" t="s">
        <v>363</v>
      </c>
      <c r="V6" s="65" t="s">
        <v>371</v>
      </c>
      <c r="W6" s="65" t="s">
        <v>369</v>
      </c>
      <c r="X6" s="160" t="s">
        <v>385</v>
      </c>
      <c r="Y6" s="65" t="s">
        <v>368</v>
      </c>
      <c r="Z6" s="65" t="s">
        <v>20</v>
      </c>
      <c r="AA6" s="65" t="s">
        <v>19</v>
      </c>
      <c r="AB6" s="65" t="s">
        <v>372</v>
      </c>
      <c r="AC6" s="66"/>
      <c r="AD6" s="63" t="s">
        <v>432</v>
      </c>
      <c r="AE6" s="64"/>
      <c r="AF6" s="64" t="s">
        <v>373</v>
      </c>
      <c r="AG6" s="65" t="s">
        <v>374</v>
      </c>
      <c r="AH6" s="65" t="s">
        <v>375</v>
      </c>
      <c r="AI6" s="65" t="s">
        <v>376</v>
      </c>
      <c r="AJ6" s="65" t="s">
        <v>377</v>
      </c>
      <c r="AK6" s="65" t="s">
        <v>378</v>
      </c>
      <c r="AL6" s="65" t="s">
        <v>379</v>
      </c>
      <c r="AM6" s="65" t="s">
        <v>365</v>
      </c>
      <c r="AN6" s="65" t="s">
        <v>381</v>
      </c>
      <c r="AO6" s="65" t="s">
        <v>382</v>
      </c>
      <c r="AP6" s="65" t="s">
        <v>383</v>
      </c>
      <c r="AQ6" s="65" t="s">
        <v>372</v>
      </c>
      <c r="AR6" s="66"/>
      <c r="AS6" s="63" t="s">
        <v>432</v>
      </c>
      <c r="AT6" s="64" t="s">
        <v>384</v>
      </c>
      <c r="AU6" s="65" t="s">
        <v>130</v>
      </c>
      <c r="AV6" s="65" t="s">
        <v>391</v>
      </c>
      <c r="AW6" s="65" t="s">
        <v>392</v>
      </c>
      <c r="AX6" s="65" t="s">
        <v>393</v>
      </c>
      <c r="AY6" s="65" t="s">
        <v>394</v>
      </c>
      <c r="AZ6" s="65" t="s">
        <v>467</v>
      </c>
      <c r="BA6" s="65" t="s">
        <v>395</v>
      </c>
      <c r="BB6" s="65" t="s">
        <v>396</v>
      </c>
      <c r="BC6" s="65" t="s">
        <v>372</v>
      </c>
      <c r="BD6" s="66"/>
      <c r="BE6" s="286"/>
      <c r="BF6" s="63" t="s">
        <v>432</v>
      </c>
      <c r="BG6" s="160" t="s">
        <v>397</v>
      </c>
      <c r="BH6" s="65" t="s">
        <v>398</v>
      </c>
      <c r="BI6" s="65" t="s">
        <v>423</v>
      </c>
      <c r="BJ6" s="67"/>
      <c r="BK6" s="65"/>
      <c r="BL6" s="65" t="s">
        <v>372</v>
      </c>
      <c r="BM6" s="68"/>
      <c r="BN6" s="68"/>
      <c r="BO6" s="63" t="s">
        <v>432</v>
      </c>
      <c r="BP6" s="171" t="s">
        <v>37</v>
      </c>
      <c r="BQ6" s="171" t="s">
        <v>39</v>
      </c>
    </row>
    <row r="7" spans="1:69" ht="16.5" customHeight="1">
      <c r="A7" s="69"/>
      <c r="C7" s="70"/>
      <c r="D7" s="71"/>
      <c r="E7" s="71"/>
      <c r="F7" s="71"/>
      <c r="G7" s="71"/>
      <c r="H7" s="71"/>
      <c r="I7" s="70"/>
      <c r="J7" s="72"/>
      <c r="K7" s="72"/>
      <c r="L7" s="69"/>
      <c r="M7" s="70"/>
      <c r="N7" s="71"/>
      <c r="O7" s="71"/>
      <c r="P7" s="71"/>
      <c r="Q7" s="70"/>
      <c r="R7" s="71"/>
      <c r="S7" s="71"/>
      <c r="T7" s="71"/>
      <c r="U7" s="71"/>
      <c r="V7" s="71"/>
      <c r="W7" s="71"/>
      <c r="X7" s="70"/>
      <c r="Y7" s="71"/>
      <c r="Z7" s="71"/>
      <c r="AA7" s="71"/>
      <c r="AB7" s="71"/>
      <c r="AC7" s="73"/>
      <c r="AD7" s="69"/>
      <c r="AE7" s="70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3"/>
      <c r="AS7" s="69"/>
      <c r="AT7" s="70"/>
      <c r="AU7" s="71"/>
      <c r="AV7" s="71"/>
      <c r="AW7" s="71"/>
      <c r="AX7" s="71"/>
      <c r="AY7" s="71"/>
      <c r="AZ7" s="71"/>
      <c r="BA7" s="71"/>
      <c r="BB7" s="71"/>
      <c r="BC7" s="71"/>
      <c r="BD7" s="73"/>
      <c r="BE7" s="127"/>
      <c r="BF7" s="69"/>
      <c r="BG7" s="70"/>
      <c r="BH7" s="71"/>
      <c r="BI7" s="70"/>
      <c r="BJ7" s="71"/>
      <c r="BK7" s="71"/>
      <c r="BL7" s="71"/>
      <c r="BM7" s="74"/>
      <c r="BN7" s="74"/>
      <c r="BO7" s="69"/>
      <c r="BP7" s="70"/>
      <c r="BQ7" s="70"/>
    </row>
    <row r="8" spans="1:69" ht="16.5" customHeight="1" thickBot="1">
      <c r="A8" s="75" t="s">
        <v>433</v>
      </c>
      <c r="C8" s="76">
        <v>0</v>
      </c>
      <c r="D8" s="77">
        <f>AB8</f>
        <v>22985436.12</v>
      </c>
      <c r="E8" s="77">
        <f>BL8</f>
        <v>10146699</v>
      </c>
      <c r="F8" s="76">
        <f>SUM(C8:E8)</f>
        <v>33132135.12</v>
      </c>
      <c r="G8" s="77"/>
      <c r="H8" s="77">
        <v>0</v>
      </c>
      <c r="I8" s="76">
        <f>F8-G8+H8</f>
        <v>33132135.12</v>
      </c>
      <c r="J8" s="78"/>
      <c r="K8" s="72"/>
      <c r="L8" s="75" t="s">
        <v>433</v>
      </c>
      <c r="M8" s="76">
        <v>5693754</v>
      </c>
      <c r="N8" s="77">
        <v>7997818</v>
      </c>
      <c r="O8" s="77">
        <v>2817395</v>
      </c>
      <c r="P8" s="77">
        <v>0</v>
      </c>
      <c r="Q8" s="414">
        <v>0</v>
      </c>
      <c r="R8" s="77">
        <v>0</v>
      </c>
      <c r="S8" s="77">
        <v>0</v>
      </c>
      <c r="T8" s="77">
        <v>0</v>
      </c>
      <c r="U8" s="77">
        <v>0</v>
      </c>
      <c r="V8" s="77">
        <v>3427411.12</v>
      </c>
      <c r="W8" s="77">
        <v>3049058</v>
      </c>
      <c r="X8" s="76">
        <v>0</v>
      </c>
      <c r="Y8" s="77">
        <v>0</v>
      </c>
      <c r="Z8" s="77">
        <f>AQ8</f>
        <v>0</v>
      </c>
      <c r="AA8" s="77">
        <f>BC8</f>
        <v>0</v>
      </c>
      <c r="AB8" s="77">
        <f>SUM(M8:AA8)</f>
        <v>22985436.12</v>
      </c>
      <c r="AC8" s="78"/>
      <c r="AD8" s="75" t="s">
        <v>433</v>
      </c>
      <c r="AE8" s="76">
        <v>0</v>
      </c>
      <c r="AF8" s="77">
        <v>0</v>
      </c>
      <c r="AG8" s="77">
        <v>0</v>
      </c>
      <c r="AH8" s="77">
        <v>0</v>
      </c>
      <c r="AI8" s="77">
        <v>0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77">
        <v>0</v>
      </c>
      <c r="AP8" s="77">
        <v>0</v>
      </c>
      <c r="AQ8" s="77">
        <f>SUM(AE8:AP8)</f>
        <v>0</v>
      </c>
      <c r="AR8" s="78"/>
      <c r="AS8" s="75" t="s">
        <v>433</v>
      </c>
      <c r="AT8" s="76">
        <v>0</v>
      </c>
      <c r="AU8" s="77">
        <v>0</v>
      </c>
      <c r="AV8" s="77">
        <v>0</v>
      </c>
      <c r="AW8" s="77">
        <v>0</v>
      </c>
      <c r="AX8" s="77">
        <v>0</v>
      </c>
      <c r="AY8" s="77">
        <v>0</v>
      </c>
      <c r="AZ8" s="77">
        <v>0</v>
      </c>
      <c r="BA8" s="77">
        <v>0</v>
      </c>
      <c r="BB8" s="77">
        <v>0</v>
      </c>
      <c r="BC8" s="77">
        <f>SUM(AT8:BB8)</f>
        <v>0</v>
      </c>
      <c r="BD8" s="78"/>
      <c r="BE8" s="127"/>
      <c r="BF8" s="75" t="s">
        <v>433</v>
      </c>
      <c r="BG8" s="76">
        <v>0</v>
      </c>
      <c r="BH8" s="77">
        <v>10146699</v>
      </c>
      <c r="BI8" s="76">
        <v>0</v>
      </c>
      <c r="BJ8" s="77"/>
      <c r="BK8" s="77">
        <v>0</v>
      </c>
      <c r="BL8" s="77">
        <f>SUM(BG8:BK8)</f>
        <v>10146699</v>
      </c>
      <c r="BM8" s="80"/>
      <c r="BN8" s="80"/>
      <c r="BO8" s="75" t="s">
        <v>433</v>
      </c>
      <c r="BP8" s="76">
        <v>6629000</v>
      </c>
      <c r="BQ8" s="76">
        <f>BP8*$BR$2</f>
        <v>13874739.22366</v>
      </c>
    </row>
    <row r="9" spans="1:69" ht="16.5" customHeight="1" thickTop="1">
      <c r="A9" s="81"/>
      <c r="C9" s="82"/>
      <c r="D9" s="83"/>
      <c r="E9" s="83"/>
      <c r="F9" s="83"/>
      <c r="G9" s="83"/>
      <c r="H9" s="83"/>
      <c r="I9" s="82"/>
      <c r="J9" s="72"/>
      <c r="K9" s="72"/>
      <c r="L9" s="81"/>
      <c r="M9" s="82"/>
      <c r="N9" s="83"/>
      <c r="O9" s="83"/>
      <c r="P9" s="83"/>
      <c r="Q9" s="82"/>
      <c r="R9" s="83"/>
      <c r="S9" s="83"/>
      <c r="T9" s="83"/>
      <c r="U9" s="83"/>
      <c r="V9" s="83"/>
      <c r="W9" s="83"/>
      <c r="X9" s="82"/>
      <c r="Y9" s="83"/>
      <c r="Z9" s="83"/>
      <c r="AA9" s="83"/>
      <c r="AB9" s="83"/>
      <c r="AC9" s="72"/>
      <c r="AD9" s="81"/>
      <c r="AE9" s="82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72"/>
      <c r="AS9" s="81"/>
      <c r="AT9" s="82"/>
      <c r="AU9" s="83"/>
      <c r="AV9" s="83"/>
      <c r="AW9" s="83"/>
      <c r="AX9" s="83"/>
      <c r="AY9" s="83"/>
      <c r="AZ9" s="83"/>
      <c r="BA9" s="83"/>
      <c r="BB9" s="83"/>
      <c r="BC9" s="83"/>
      <c r="BD9" s="72"/>
      <c r="BE9" s="127"/>
      <c r="BF9" s="81"/>
      <c r="BG9" s="82"/>
      <c r="BH9" s="83"/>
      <c r="BI9" s="82"/>
      <c r="BJ9" s="83"/>
      <c r="BK9" s="83"/>
      <c r="BL9" s="83"/>
      <c r="BM9" s="84"/>
      <c r="BN9" s="84"/>
      <c r="BO9" s="81"/>
      <c r="BP9" s="82"/>
      <c r="BQ9" s="82"/>
    </row>
    <row r="10" spans="1:69" ht="16.5" customHeight="1">
      <c r="A10" s="75" t="s">
        <v>17</v>
      </c>
      <c r="C10" s="85">
        <v>51076</v>
      </c>
      <c r="D10" s="86">
        <f>AB10</f>
        <v>3183531.74</v>
      </c>
      <c r="E10" s="86">
        <f>BL10</f>
        <v>869348</v>
      </c>
      <c r="F10" s="86">
        <f>SUM(C10:E10)</f>
        <v>4103955.74</v>
      </c>
      <c r="G10" s="86"/>
      <c r="H10" s="86"/>
      <c r="I10" s="85">
        <f>F10-G10+H10</f>
        <v>4103955.74</v>
      </c>
      <c r="J10" s="72"/>
      <c r="K10" s="72"/>
      <c r="L10" s="75" t="s">
        <v>17</v>
      </c>
      <c r="M10" s="85">
        <v>6685</v>
      </c>
      <c r="N10" s="86">
        <v>14788</v>
      </c>
      <c r="O10" s="86">
        <v>1244081</v>
      </c>
      <c r="P10" s="86">
        <v>0</v>
      </c>
      <c r="Q10" s="85">
        <v>327097</v>
      </c>
      <c r="R10" s="86">
        <v>900333</v>
      </c>
      <c r="S10" s="86">
        <v>508770</v>
      </c>
      <c r="T10" s="86">
        <v>0</v>
      </c>
      <c r="U10" s="86">
        <v>0</v>
      </c>
      <c r="V10" s="86">
        <v>19355.74</v>
      </c>
      <c r="W10" s="86">
        <v>102422</v>
      </c>
      <c r="X10" s="85">
        <v>0</v>
      </c>
      <c r="Y10" s="86">
        <v>0</v>
      </c>
      <c r="Z10" s="86">
        <f>AQ10</f>
        <v>60000</v>
      </c>
      <c r="AA10" s="86">
        <f>BC10</f>
        <v>0</v>
      </c>
      <c r="AB10" s="86">
        <f>SUM(M10:AA10)</f>
        <v>3183531.74</v>
      </c>
      <c r="AC10" s="72"/>
      <c r="AD10" s="75" t="s">
        <v>17</v>
      </c>
      <c r="AE10" s="85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6">
        <v>0</v>
      </c>
      <c r="AN10" s="86">
        <v>60000</v>
      </c>
      <c r="AO10" s="86">
        <v>0</v>
      </c>
      <c r="AP10" s="86">
        <v>0</v>
      </c>
      <c r="AQ10" s="85">
        <f>SUM(AE10:AP10)</f>
        <v>60000</v>
      </c>
      <c r="AR10" s="72"/>
      <c r="AS10" s="75" t="s">
        <v>17</v>
      </c>
      <c r="AT10" s="85">
        <v>0</v>
      </c>
      <c r="AU10" s="86">
        <v>0</v>
      </c>
      <c r="AV10" s="86">
        <v>0</v>
      </c>
      <c r="AW10" s="86">
        <v>0</v>
      </c>
      <c r="AX10" s="86">
        <v>0</v>
      </c>
      <c r="AY10" s="86">
        <v>0</v>
      </c>
      <c r="AZ10" s="86">
        <v>0</v>
      </c>
      <c r="BA10" s="86">
        <v>0</v>
      </c>
      <c r="BB10" s="86">
        <v>0</v>
      </c>
      <c r="BC10" s="85">
        <f>SUM(AT10:BB10)</f>
        <v>0</v>
      </c>
      <c r="BD10" s="72"/>
      <c r="BE10" s="127"/>
      <c r="BF10" s="75" t="s">
        <v>17</v>
      </c>
      <c r="BG10" s="85">
        <v>0</v>
      </c>
      <c r="BH10" s="86">
        <v>869348</v>
      </c>
      <c r="BI10" s="85">
        <v>0</v>
      </c>
      <c r="BJ10" s="86"/>
      <c r="BK10" s="86">
        <v>0</v>
      </c>
      <c r="BL10" s="86">
        <f>SUM(BG10:BK10)</f>
        <v>869348</v>
      </c>
      <c r="BM10" s="84"/>
      <c r="BN10" s="84"/>
      <c r="BO10" s="75" t="s">
        <v>17</v>
      </c>
      <c r="BP10" s="85">
        <v>39000</v>
      </c>
      <c r="BQ10" s="85">
        <f>BP10*$BR$2</f>
        <v>81628.42506</v>
      </c>
    </row>
    <row r="11" spans="1:69" ht="16.5" customHeight="1">
      <c r="A11" s="81"/>
      <c r="C11" s="82"/>
      <c r="D11" s="83"/>
      <c r="E11" s="83"/>
      <c r="F11" s="83"/>
      <c r="G11" s="83"/>
      <c r="H11" s="83"/>
      <c r="I11" s="82"/>
      <c r="J11" s="72"/>
      <c r="K11" s="72"/>
      <c r="L11" s="81"/>
      <c r="M11" s="82"/>
      <c r="N11" s="83"/>
      <c r="O11" s="83"/>
      <c r="P11" s="83"/>
      <c r="Q11" s="82"/>
      <c r="R11" s="83"/>
      <c r="S11" s="83"/>
      <c r="T11" s="83"/>
      <c r="U11" s="83"/>
      <c r="V11" s="83"/>
      <c r="W11" s="83"/>
      <c r="X11" s="82"/>
      <c r="Y11" s="83"/>
      <c r="Z11" s="83"/>
      <c r="AA11" s="83"/>
      <c r="AB11" s="83"/>
      <c r="AC11" s="72"/>
      <c r="AD11" s="81"/>
      <c r="AE11" s="82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72"/>
      <c r="AS11" s="81"/>
      <c r="AT11" s="82"/>
      <c r="AU11" s="83"/>
      <c r="AV11" s="83"/>
      <c r="AW11" s="83"/>
      <c r="AX11" s="83"/>
      <c r="AY11" s="83"/>
      <c r="AZ11" s="83"/>
      <c r="BA11" s="83"/>
      <c r="BB11" s="83"/>
      <c r="BC11" s="83"/>
      <c r="BD11" s="72"/>
      <c r="BE11" s="127"/>
      <c r="BF11" s="82"/>
      <c r="BG11" s="82"/>
      <c r="BH11" s="83"/>
      <c r="BI11" s="82"/>
      <c r="BJ11" s="83"/>
      <c r="BK11" s="83"/>
      <c r="BL11" s="83"/>
      <c r="BM11" s="84"/>
      <c r="BN11" s="84"/>
      <c r="BO11" s="81"/>
      <c r="BP11" s="82"/>
      <c r="BQ11" s="82"/>
    </row>
    <row r="12" spans="1:69" ht="16.5" customHeight="1">
      <c r="A12" s="81"/>
      <c r="C12" s="87"/>
      <c r="D12" s="87"/>
      <c r="E12" s="87"/>
      <c r="F12" s="87"/>
      <c r="G12" s="87"/>
      <c r="H12" s="87"/>
      <c r="I12" s="87"/>
      <c r="J12" s="72"/>
      <c r="K12" s="72"/>
      <c r="L12" s="81"/>
      <c r="M12" s="87"/>
      <c r="N12" s="88"/>
      <c r="O12" s="83"/>
      <c r="P12" s="88"/>
      <c r="Q12" s="87"/>
      <c r="R12" s="88"/>
      <c r="S12" s="88"/>
      <c r="T12" s="88"/>
      <c r="U12" s="88"/>
      <c r="V12" s="88"/>
      <c r="W12" s="88"/>
      <c r="X12" s="87"/>
      <c r="Y12" s="88"/>
      <c r="Z12" s="88"/>
      <c r="AA12" s="88"/>
      <c r="AB12" s="88"/>
      <c r="AC12" s="72"/>
      <c r="AD12" s="81"/>
      <c r="AE12" s="82"/>
      <c r="AF12" s="82"/>
      <c r="AG12" s="82"/>
      <c r="AH12" s="82"/>
      <c r="AI12" s="82"/>
      <c r="AJ12" s="82"/>
      <c r="AK12" s="82"/>
      <c r="AL12" s="82"/>
      <c r="AM12" s="83"/>
      <c r="AN12" s="82"/>
      <c r="AO12" s="82"/>
      <c r="AP12" s="82"/>
      <c r="AQ12" s="88"/>
      <c r="AR12" s="72"/>
      <c r="AS12" s="81"/>
      <c r="AT12" s="82"/>
      <c r="AU12" s="82"/>
      <c r="AV12" s="82"/>
      <c r="AW12" s="82"/>
      <c r="AX12" s="82"/>
      <c r="AY12" s="82"/>
      <c r="AZ12" s="82"/>
      <c r="BA12" s="82"/>
      <c r="BB12" s="82"/>
      <c r="BC12" s="88"/>
      <c r="BD12" s="72"/>
      <c r="BE12" s="127"/>
      <c r="BF12" s="82"/>
      <c r="BG12" s="87"/>
      <c r="BH12" s="88"/>
      <c r="BI12" s="87"/>
      <c r="BJ12" s="88"/>
      <c r="BK12" s="88"/>
      <c r="BL12" s="88"/>
      <c r="BM12" s="84"/>
      <c r="BN12" s="84"/>
      <c r="BO12" s="81"/>
      <c r="BP12" s="82"/>
      <c r="BQ12" s="82"/>
    </row>
    <row r="13" spans="1:69" s="129" customFormat="1" ht="16.5" customHeight="1">
      <c r="A13" s="206" t="s">
        <v>434</v>
      </c>
      <c r="C13" s="207">
        <f>-41603348-602448.92</f>
        <v>-42205796.92</v>
      </c>
      <c r="D13" s="126">
        <f>AB13</f>
        <v>-14614293.55</v>
      </c>
      <c r="E13" s="126">
        <f>BL13</f>
        <v>-7118841.18</v>
      </c>
      <c r="F13" s="126">
        <f>SUM(C13:E13)</f>
        <v>-63938931.65</v>
      </c>
      <c r="G13" s="126">
        <v>1385794</v>
      </c>
      <c r="H13" s="126">
        <v>0</v>
      </c>
      <c r="I13" s="207">
        <f>F13-G13+H13</f>
        <v>-65324725.65</v>
      </c>
      <c r="J13" s="127"/>
      <c r="K13" s="127"/>
      <c r="L13" s="206" t="s">
        <v>434</v>
      </c>
      <c r="M13" s="207">
        <v>2917368</v>
      </c>
      <c r="N13" s="126">
        <v>4308051</v>
      </c>
      <c r="O13" s="126">
        <v>-4151703</v>
      </c>
      <c r="P13" s="126">
        <v>-217463</v>
      </c>
      <c r="Q13" s="207">
        <v>316880</v>
      </c>
      <c r="R13" s="126">
        <v>-34884</v>
      </c>
      <c r="S13" s="126">
        <v>-12121094</v>
      </c>
      <c r="T13" s="126">
        <v>-14573.2</v>
      </c>
      <c r="U13" s="126">
        <v>-60</v>
      </c>
      <c r="V13" s="126">
        <v>-833016.88</v>
      </c>
      <c r="W13" s="126">
        <v>-4811072</v>
      </c>
      <c r="X13" s="207">
        <v>-1689</v>
      </c>
      <c r="Y13" s="126">
        <v>-600</v>
      </c>
      <c r="Z13" s="126">
        <f>AQ13</f>
        <v>36026.03</v>
      </c>
      <c r="AA13" s="126">
        <f>BC13</f>
        <v>-6463.5</v>
      </c>
      <c r="AB13" s="126">
        <f>SUM(M13:AA13)</f>
        <v>-14614293.55</v>
      </c>
      <c r="AC13" s="209"/>
      <c r="AD13" s="206" t="s">
        <v>434</v>
      </c>
      <c r="AE13" s="125">
        <v>-1823.15</v>
      </c>
      <c r="AF13" s="125">
        <v>-30</v>
      </c>
      <c r="AG13" s="125">
        <v>0</v>
      </c>
      <c r="AH13" s="125">
        <v>0</v>
      </c>
      <c r="AI13" s="125">
        <v>-1000</v>
      </c>
      <c r="AJ13" s="125">
        <v>-1000</v>
      </c>
      <c r="AK13" s="125">
        <v>-2105.63</v>
      </c>
      <c r="AL13" s="125">
        <v>-2105.75</v>
      </c>
      <c r="AM13" s="126">
        <v>-7285.24</v>
      </c>
      <c r="AN13" s="125">
        <v>54409.8</v>
      </c>
      <c r="AO13" s="88">
        <v>-2034</v>
      </c>
      <c r="AP13" s="88">
        <v>-1000</v>
      </c>
      <c r="AQ13" s="126">
        <f>SUM(AE13:AP13)</f>
        <v>36026.03</v>
      </c>
      <c r="AR13" s="209"/>
      <c r="AS13" s="206" t="s">
        <v>434</v>
      </c>
      <c r="AT13" s="208">
        <v>-1000</v>
      </c>
      <c r="AU13" s="208">
        <v>0</v>
      </c>
      <c r="AV13" s="208">
        <v>-1270</v>
      </c>
      <c r="AW13" s="208">
        <v>-1270</v>
      </c>
      <c r="AX13" s="208">
        <v>-1000</v>
      </c>
      <c r="AY13" s="208">
        <v>-70</v>
      </c>
      <c r="AZ13" s="208">
        <v>-70</v>
      </c>
      <c r="BA13" s="208">
        <v>-70</v>
      </c>
      <c r="BB13" s="208">
        <v>-1713.5</v>
      </c>
      <c r="BC13" s="208">
        <f>SUM(AT13:BB13)</f>
        <v>-6463.5</v>
      </c>
      <c r="BD13" s="209"/>
      <c r="BE13" s="127"/>
      <c r="BF13" s="210" t="s">
        <v>434</v>
      </c>
      <c r="BG13" s="207">
        <v>-343925.06</v>
      </c>
      <c r="BH13" s="126">
        <v>-1172572</v>
      </c>
      <c r="BI13" s="207">
        <v>-5602344.12</v>
      </c>
      <c r="BJ13" s="126">
        <v>0</v>
      </c>
      <c r="BK13" s="126">
        <v>0</v>
      </c>
      <c r="BL13" s="126">
        <f>SUM(BG13:BK13)</f>
        <v>-7118841.18</v>
      </c>
      <c r="BM13" s="211"/>
      <c r="BN13" s="211"/>
      <c r="BO13" s="206" t="s">
        <v>434</v>
      </c>
      <c r="BP13" s="207">
        <v>-1988000</v>
      </c>
      <c r="BQ13" s="207">
        <f>BP13*$BR$2</f>
        <v>-4160956.64152</v>
      </c>
    </row>
    <row r="14" spans="1:69" ht="16.5" customHeight="1">
      <c r="A14" s="69" t="s">
        <v>59</v>
      </c>
      <c r="C14" s="87"/>
      <c r="D14" s="87"/>
      <c r="E14" s="87"/>
      <c r="F14" s="87"/>
      <c r="G14" s="88"/>
      <c r="H14" s="88"/>
      <c r="I14" s="87"/>
      <c r="J14" s="78"/>
      <c r="K14" s="78"/>
      <c r="L14" s="69" t="s">
        <v>59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78"/>
      <c r="AD14" s="69" t="s">
        <v>59</v>
      </c>
      <c r="AE14" s="87"/>
      <c r="AF14" s="88"/>
      <c r="AG14" s="88"/>
      <c r="AH14" s="88"/>
      <c r="AI14" s="88"/>
      <c r="AJ14" s="88"/>
      <c r="AK14" s="88"/>
      <c r="AL14" s="88"/>
      <c r="AM14" s="87"/>
      <c r="AN14" s="88"/>
      <c r="AO14" s="88"/>
      <c r="AP14" s="88"/>
      <c r="AQ14" s="88"/>
      <c r="AR14" s="78"/>
      <c r="AS14" s="69" t="s">
        <v>59</v>
      </c>
      <c r="AT14" s="87"/>
      <c r="AU14" s="88"/>
      <c r="AV14" s="88"/>
      <c r="AW14" s="88"/>
      <c r="AX14" s="88"/>
      <c r="AY14" s="88"/>
      <c r="AZ14" s="88"/>
      <c r="BA14" s="88"/>
      <c r="BB14" s="88"/>
      <c r="BC14" s="88"/>
      <c r="BD14" s="78"/>
      <c r="BE14" s="209"/>
      <c r="BF14" s="69" t="s">
        <v>59</v>
      </c>
      <c r="BG14" s="87"/>
      <c r="BH14" s="88"/>
      <c r="BI14" s="87"/>
      <c r="BJ14" s="88"/>
      <c r="BK14" s="88"/>
      <c r="BL14" s="88"/>
      <c r="BM14" s="80"/>
      <c r="BN14" s="80"/>
      <c r="BO14" s="69" t="s">
        <v>59</v>
      </c>
      <c r="BP14" s="87"/>
      <c r="BQ14" s="87"/>
    </row>
    <row r="15" spans="1:69" ht="16.5" customHeight="1">
      <c r="A15" s="69" t="s">
        <v>60</v>
      </c>
      <c r="C15" s="87">
        <v>0</v>
      </c>
      <c r="D15" s="88">
        <f>AB15</f>
        <v>0</v>
      </c>
      <c r="E15" s="88">
        <f>BL15</f>
        <v>0</v>
      </c>
      <c r="F15" s="88">
        <f>SUM(C15:E15)</f>
        <v>0</v>
      </c>
      <c r="G15" s="83">
        <v>0</v>
      </c>
      <c r="H15" s="83">
        <v>0</v>
      </c>
      <c r="I15" s="87">
        <f>F15-G15+H15</f>
        <v>0</v>
      </c>
      <c r="J15" s="72"/>
      <c r="K15" s="72"/>
      <c r="L15" s="69" t="s">
        <v>60</v>
      </c>
      <c r="M15" s="87">
        <v>0</v>
      </c>
      <c r="N15" s="88">
        <v>0</v>
      </c>
      <c r="O15" s="88">
        <v>0</v>
      </c>
      <c r="P15" s="88">
        <v>0</v>
      </c>
      <c r="Q15" s="87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7">
        <v>0</v>
      </c>
      <c r="Y15" s="88">
        <v>0</v>
      </c>
      <c r="Z15" s="88">
        <v>0</v>
      </c>
      <c r="AA15" s="88">
        <v>0</v>
      </c>
      <c r="AB15" s="88">
        <v>0</v>
      </c>
      <c r="AC15" s="78"/>
      <c r="AD15" s="69" t="s">
        <v>60</v>
      </c>
      <c r="AE15" s="87">
        <v>0</v>
      </c>
      <c r="AF15" s="88">
        <v>0</v>
      </c>
      <c r="AG15" s="88">
        <v>0</v>
      </c>
      <c r="AH15" s="88">
        <v>0</v>
      </c>
      <c r="AI15" s="83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f>SUM(AE15:AP15)</f>
        <v>0</v>
      </c>
      <c r="AR15" s="78"/>
      <c r="AS15" s="69" t="s">
        <v>60</v>
      </c>
      <c r="AT15" s="87">
        <v>0</v>
      </c>
      <c r="AU15" s="88"/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f>SUM(AT15:BB15)</f>
        <v>0</v>
      </c>
      <c r="BD15" s="78"/>
      <c r="BE15" s="127"/>
      <c r="BF15" s="69" t="s">
        <v>60</v>
      </c>
      <c r="BG15" s="87"/>
      <c r="BH15" s="88">
        <v>0</v>
      </c>
      <c r="BI15" s="87"/>
      <c r="BJ15" s="88">
        <f>BQ15</f>
        <v>0</v>
      </c>
      <c r="BK15" s="88">
        <v>0</v>
      </c>
      <c r="BL15" s="88">
        <f>SUM(BG15:BK15)</f>
        <v>0</v>
      </c>
      <c r="BM15" s="80"/>
      <c r="BN15" s="80"/>
      <c r="BO15" s="69" t="s">
        <v>60</v>
      </c>
      <c r="BP15" s="87">
        <v>0</v>
      </c>
      <c r="BQ15" s="87">
        <f>BP15*$BR$2</f>
        <v>0</v>
      </c>
    </row>
    <row r="16" spans="1:69" ht="16.5" customHeight="1">
      <c r="A16" s="81"/>
      <c r="C16" s="82"/>
      <c r="D16" s="88"/>
      <c r="E16" s="88"/>
      <c r="F16" s="88"/>
      <c r="G16" s="83"/>
      <c r="H16" s="83"/>
      <c r="I16" s="82"/>
      <c r="J16" s="72"/>
      <c r="K16" s="72"/>
      <c r="L16" s="81"/>
      <c r="M16" s="82"/>
      <c r="N16" s="88"/>
      <c r="O16" s="83"/>
      <c r="P16" s="83"/>
      <c r="Q16" s="82"/>
      <c r="R16" s="83"/>
      <c r="S16" s="83"/>
      <c r="T16" s="83"/>
      <c r="U16" s="83"/>
      <c r="V16" s="83"/>
      <c r="W16" s="83"/>
      <c r="X16" s="82"/>
      <c r="Y16" s="83"/>
      <c r="Z16" s="83"/>
      <c r="AA16" s="83"/>
      <c r="AB16" s="83"/>
      <c r="AC16" s="72"/>
      <c r="AD16" s="81"/>
      <c r="AE16" s="82"/>
      <c r="AF16" s="88"/>
      <c r="AG16" s="88"/>
      <c r="AH16" s="88"/>
      <c r="AI16" s="83"/>
      <c r="AJ16" s="83"/>
      <c r="AK16" s="83"/>
      <c r="AL16" s="83"/>
      <c r="AM16" s="88"/>
      <c r="AN16" s="83"/>
      <c r="AO16" s="83"/>
      <c r="AP16" s="83"/>
      <c r="AQ16" s="83"/>
      <c r="AR16" s="72"/>
      <c r="AS16" s="81"/>
      <c r="AT16" s="82"/>
      <c r="AU16" s="83"/>
      <c r="AV16" s="83"/>
      <c r="AW16" s="83"/>
      <c r="AX16" s="83"/>
      <c r="AY16" s="83"/>
      <c r="AZ16" s="83"/>
      <c r="BA16" s="83"/>
      <c r="BB16" s="83"/>
      <c r="BC16" s="83"/>
      <c r="BD16" s="72"/>
      <c r="BE16" s="127"/>
      <c r="BF16" s="81"/>
      <c r="BG16" s="82"/>
      <c r="BH16" s="83"/>
      <c r="BI16" s="82"/>
      <c r="BJ16" s="88"/>
      <c r="BK16" s="83"/>
      <c r="BL16" s="88"/>
      <c r="BM16" s="84"/>
      <c r="BN16" s="84"/>
      <c r="BO16" s="81"/>
      <c r="BP16" s="82"/>
      <c r="BQ16" s="82"/>
    </row>
    <row r="17" spans="1:69" ht="16.5" customHeight="1">
      <c r="A17" s="69" t="s">
        <v>61</v>
      </c>
      <c r="C17" s="85">
        <v>0</v>
      </c>
      <c r="D17" s="89">
        <f>AB17</f>
        <v>0</v>
      </c>
      <c r="E17" s="89">
        <f>BL17</f>
        <v>0</v>
      </c>
      <c r="F17" s="89">
        <f>SUM(C17:E17)</f>
        <v>0</v>
      </c>
      <c r="G17" s="89">
        <v>269059</v>
      </c>
      <c r="H17" s="89">
        <v>2983770.6780000003</v>
      </c>
      <c r="I17" s="90">
        <f>F17-G17+H17</f>
        <v>2714711.6780000003</v>
      </c>
      <c r="J17" s="72"/>
      <c r="K17" s="72"/>
      <c r="L17" s="69" t="s">
        <v>61</v>
      </c>
      <c r="M17" s="85"/>
      <c r="N17" s="89"/>
      <c r="O17" s="89"/>
      <c r="P17" s="89"/>
      <c r="Q17" s="85"/>
      <c r="R17" s="89"/>
      <c r="S17" s="89"/>
      <c r="T17" s="89"/>
      <c r="U17" s="89"/>
      <c r="V17" s="89"/>
      <c r="W17" s="89"/>
      <c r="X17" s="85">
        <v>0</v>
      </c>
      <c r="Y17" s="89"/>
      <c r="Z17" s="89"/>
      <c r="AA17" s="89"/>
      <c r="AB17" s="89">
        <f>SUM(M17:AA17)</f>
        <v>0</v>
      </c>
      <c r="AC17" s="78"/>
      <c r="AD17" s="69" t="s">
        <v>61</v>
      </c>
      <c r="AE17" s="85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>
        <f>SUM(AE17:AP17)</f>
        <v>0</v>
      </c>
      <c r="AR17" s="78"/>
      <c r="AS17" s="69" t="s">
        <v>61</v>
      </c>
      <c r="AT17" s="85"/>
      <c r="AU17" s="86"/>
      <c r="AV17" s="89"/>
      <c r="AW17" s="89"/>
      <c r="AX17" s="89"/>
      <c r="AY17" s="89"/>
      <c r="AZ17" s="89"/>
      <c r="BA17" s="89"/>
      <c r="BB17" s="89"/>
      <c r="BC17" s="89">
        <f>SUM(AT17:BB17)</f>
        <v>0</v>
      </c>
      <c r="BD17" s="78"/>
      <c r="BE17" s="127"/>
      <c r="BF17" s="69" t="s">
        <v>61</v>
      </c>
      <c r="BG17" s="85"/>
      <c r="BH17" s="89"/>
      <c r="BI17" s="85"/>
      <c r="BJ17" s="89"/>
      <c r="BK17" s="89"/>
      <c r="BL17" s="89">
        <f>SUM(BG17:BK17)</f>
        <v>0</v>
      </c>
      <c r="BM17" s="80"/>
      <c r="BN17" s="80"/>
      <c r="BO17" s="69" t="s">
        <v>61</v>
      </c>
      <c r="BP17" s="85">
        <v>0</v>
      </c>
      <c r="BQ17" s="85">
        <f>BP17*$BR$2</f>
        <v>0</v>
      </c>
    </row>
    <row r="18" spans="1:69" ht="16.5" customHeight="1">
      <c r="A18" s="91" t="s">
        <v>435</v>
      </c>
      <c r="C18" s="87">
        <f>SUM(C13:C17)</f>
        <v>-42205796.92</v>
      </c>
      <c r="D18" s="88">
        <f aca="true" t="shared" si="0" ref="D18:I18">SUM(D13:D17)</f>
        <v>-14614293.55</v>
      </c>
      <c r="E18" s="88">
        <f t="shared" si="0"/>
        <v>-7118841.18</v>
      </c>
      <c r="F18" s="88">
        <f t="shared" si="0"/>
        <v>-63938931.65</v>
      </c>
      <c r="G18" s="88">
        <v>1654853</v>
      </c>
      <c r="H18" s="88">
        <v>2983770.6780000003</v>
      </c>
      <c r="I18" s="87">
        <f t="shared" si="0"/>
        <v>-62610013.971999995</v>
      </c>
      <c r="J18" s="72"/>
      <c r="K18" s="72"/>
      <c r="L18" s="91" t="s">
        <v>435</v>
      </c>
      <c r="M18" s="87">
        <f>SUM(M13:M17)</f>
        <v>2917368</v>
      </c>
      <c r="N18" s="88">
        <f aca="true" t="shared" si="1" ref="N18:AB18">SUM(N13:N17)</f>
        <v>4308051</v>
      </c>
      <c r="O18" s="88">
        <f t="shared" si="1"/>
        <v>-4151703</v>
      </c>
      <c r="P18" s="88">
        <f>SUM(P13:P17)</f>
        <v>-217463</v>
      </c>
      <c r="Q18" s="87">
        <f t="shared" si="1"/>
        <v>316880</v>
      </c>
      <c r="R18" s="88">
        <f t="shared" si="1"/>
        <v>-34884</v>
      </c>
      <c r="S18" s="88">
        <f t="shared" si="1"/>
        <v>-12121094</v>
      </c>
      <c r="T18" s="88">
        <f t="shared" si="1"/>
        <v>-14573.2</v>
      </c>
      <c r="U18" s="88">
        <f>SUM(U13:U17)</f>
        <v>-60</v>
      </c>
      <c r="V18" s="88">
        <f t="shared" si="1"/>
        <v>-833016.88</v>
      </c>
      <c r="W18" s="88">
        <f t="shared" si="1"/>
        <v>-4811072</v>
      </c>
      <c r="X18" s="87">
        <f>SUM(X13:X17)</f>
        <v>-1689</v>
      </c>
      <c r="Y18" s="88">
        <f t="shared" si="1"/>
        <v>-600</v>
      </c>
      <c r="Z18" s="88">
        <f t="shared" si="1"/>
        <v>36026.03</v>
      </c>
      <c r="AA18" s="88">
        <f t="shared" si="1"/>
        <v>-6463.5</v>
      </c>
      <c r="AB18" s="88">
        <f t="shared" si="1"/>
        <v>-14614293.55</v>
      </c>
      <c r="AC18" s="78"/>
      <c r="AD18" s="91" t="s">
        <v>435</v>
      </c>
      <c r="AE18" s="87">
        <f aca="true" t="shared" si="2" ref="AE18:AQ18">SUM(AE13:AE17)</f>
        <v>-1823.15</v>
      </c>
      <c r="AF18" s="88">
        <f t="shared" si="2"/>
        <v>-30</v>
      </c>
      <c r="AG18" s="88">
        <f t="shared" si="2"/>
        <v>0</v>
      </c>
      <c r="AH18" s="88">
        <f t="shared" si="2"/>
        <v>0</v>
      </c>
      <c r="AI18" s="88">
        <f t="shared" si="2"/>
        <v>-1000</v>
      </c>
      <c r="AJ18" s="88">
        <f t="shared" si="2"/>
        <v>-1000</v>
      </c>
      <c r="AK18" s="88">
        <f t="shared" si="2"/>
        <v>-2105.63</v>
      </c>
      <c r="AL18" s="88">
        <f t="shared" si="2"/>
        <v>-2105.75</v>
      </c>
      <c r="AM18" s="88">
        <f>SUM(AM13:AM17)</f>
        <v>-7285.24</v>
      </c>
      <c r="AN18" s="88">
        <f t="shared" si="2"/>
        <v>54409.8</v>
      </c>
      <c r="AO18" s="88">
        <f t="shared" si="2"/>
        <v>-2034</v>
      </c>
      <c r="AP18" s="88">
        <f t="shared" si="2"/>
        <v>-1000</v>
      </c>
      <c r="AQ18" s="88">
        <f t="shared" si="2"/>
        <v>36026.03</v>
      </c>
      <c r="AR18" s="78"/>
      <c r="AS18" s="91" t="s">
        <v>435</v>
      </c>
      <c r="AT18" s="87">
        <f aca="true" t="shared" si="3" ref="AT18:BC18">SUM(AT13:AT17)</f>
        <v>-1000</v>
      </c>
      <c r="AU18" s="87">
        <f t="shared" si="3"/>
        <v>0</v>
      </c>
      <c r="AV18" s="88">
        <f t="shared" si="3"/>
        <v>-1270</v>
      </c>
      <c r="AW18" s="88">
        <f t="shared" si="3"/>
        <v>-1270</v>
      </c>
      <c r="AX18" s="88">
        <f t="shared" si="3"/>
        <v>-1000</v>
      </c>
      <c r="AY18" s="88">
        <f t="shared" si="3"/>
        <v>-70</v>
      </c>
      <c r="AZ18" s="88">
        <f t="shared" si="3"/>
        <v>-70</v>
      </c>
      <c r="BA18" s="88">
        <f t="shared" si="3"/>
        <v>-70</v>
      </c>
      <c r="BB18" s="88">
        <f t="shared" si="3"/>
        <v>-1713.5</v>
      </c>
      <c r="BC18" s="88">
        <f t="shared" si="3"/>
        <v>-6463.5</v>
      </c>
      <c r="BD18" s="78"/>
      <c r="BE18" s="127"/>
      <c r="BF18" s="91" t="s">
        <v>435</v>
      </c>
      <c r="BG18" s="87">
        <f aca="true" t="shared" si="4" ref="BG18:BL18">SUM(BG13:BG17)</f>
        <v>-343925.06</v>
      </c>
      <c r="BH18" s="88">
        <f t="shared" si="4"/>
        <v>-1172572</v>
      </c>
      <c r="BI18" s="87">
        <f t="shared" si="4"/>
        <v>-5602344.12</v>
      </c>
      <c r="BJ18" s="88">
        <f t="shared" si="4"/>
        <v>0</v>
      </c>
      <c r="BK18" s="88">
        <f t="shared" si="4"/>
        <v>0</v>
      </c>
      <c r="BL18" s="88">
        <f t="shared" si="4"/>
        <v>-7118841.18</v>
      </c>
      <c r="BM18" s="80"/>
      <c r="BN18" s="80"/>
      <c r="BO18" s="91" t="s">
        <v>435</v>
      </c>
      <c r="BP18" s="87">
        <f>SUM(BP13:BP17)</f>
        <v>-1988000</v>
      </c>
      <c r="BQ18" s="87">
        <f>SUM(BQ13:BQ17)</f>
        <v>-4160956.64152</v>
      </c>
    </row>
    <row r="19" spans="1:69" ht="16.5" customHeight="1">
      <c r="A19" s="91"/>
      <c r="C19" s="87"/>
      <c r="D19" s="88"/>
      <c r="E19" s="88"/>
      <c r="F19" s="88"/>
      <c r="G19" s="88"/>
      <c r="H19" s="88"/>
      <c r="I19" s="87"/>
      <c r="J19" s="72"/>
      <c r="K19" s="72"/>
      <c r="L19" s="91"/>
      <c r="M19" s="87"/>
      <c r="N19" s="88"/>
      <c r="O19" s="88"/>
      <c r="P19" s="88"/>
      <c r="Q19" s="87"/>
      <c r="R19" s="88"/>
      <c r="S19" s="88"/>
      <c r="T19" s="88"/>
      <c r="U19" s="88"/>
      <c r="V19" s="88"/>
      <c r="W19" s="88"/>
      <c r="X19" s="87"/>
      <c r="Y19" s="88"/>
      <c r="Z19" s="88"/>
      <c r="AA19" s="88"/>
      <c r="AB19" s="88"/>
      <c r="AC19" s="78"/>
      <c r="AD19" s="91"/>
      <c r="AE19" s="87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78"/>
      <c r="AS19" s="91"/>
      <c r="AT19" s="87"/>
      <c r="AU19" s="88"/>
      <c r="AV19" s="88"/>
      <c r="AW19" s="88"/>
      <c r="AX19" s="88"/>
      <c r="AY19" s="88"/>
      <c r="AZ19" s="88"/>
      <c r="BA19" s="88"/>
      <c r="BB19" s="88"/>
      <c r="BC19" s="88"/>
      <c r="BD19" s="78"/>
      <c r="BE19" s="127"/>
      <c r="BF19" s="91"/>
      <c r="BG19" s="87"/>
      <c r="BH19" s="88"/>
      <c r="BI19" s="87"/>
      <c r="BJ19" s="88"/>
      <c r="BK19" s="88"/>
      <c r="BL19" s="88"/>
      <c r="BM19" s="80"/>
      <c r="BN19" s="80"/>
      <c r="BO19" s="91"/>
      <c r="BP19" s="87"/>
      <c r="BQ19" s="87"/>
    </row>
    <row r="20" spans="1:69" ht="16.5" customHeight="1">
      <c r="A20" s="69" t="s">
        <v>50</v>
      </c>
      <c r="C20" s="90">
        <v>0</v>
      </c>
      <c r="D20" s="89">
        <f>AB20</f>
        <v>468440.74</v>
      </c>
      <c r="E20" s="89">
        <f>BL20</f>
        <v>0</v>
      </c>
      <c r="F20" s="89">
        <f>SUM(C20:E20)</f>
        <v>468440.74</v>
      </c>
      <c r="G20" s="89"/>
      <c r="H20" s="89"/>
      <c r="I20" s="90">
        <f>F20-G20+H20</f>
        <v>468440.74</v>
      </c>
      <c r="J20" s="72"/>
      <c r="K20" s="72"/>
      <c r="L20" s="69" t="s">
        <v>50</v>
      </c>
      <c r="M20" s="90">
        <f>-1800000+1800000</f>
        <v>0</v>
      </c>
      <c r="N20" s="89"/>
      <c r="O20" s="89"/>
      <c r="P20" s="89">
        <v>0</v>
      </c>
      <c r="Q20" s="208">
        <v>0</v>
      </c>
      <c r="R20" s="89">
        <v>0</v>
      </c>
      <c r="S20" s="89">
        <v>0</v>
      </c>
      <c r="T20" s="89">
        <v>0</v>
      </c>
      <c r="U20" s="89"/>
      <c r="V20" s="89">
        <v>0</v>
      </c>
      <c r="W20" s="212">
        <v>0</v>
      </c>
      <c r="X20" s="90">
        <v>0</v>
      </c>
      <c r="Y20" s="89">
        <v>0</v>
      </c>
      <c r="Z20" s="90">
        <f>AQ20</f>
        <v>468440.74</v>
      </c>
      <c r="AA20" s="90">
        <f>BC20</f>
        <v>0</v>
      </c>
      <c r="AB20" s="89">
        <f>SUM(M20:AA20)</f>
        <v>468440.74</v>
      </c>
      <c r="AC20" s="69"/>
      <c r="AD20" s="285" t="s">
        <v>50</v>
      </c>
      <c r="AE20" s="90">
        <v>0</v>
      </c>
      <c r="AF20" s="90">
        <v>0</v>
      </c>
      <c r="AG20" s="90">
        <v>0</v>
      </c>
      <c r="AH20" s="90">
        <v>468440.74</v>
      </c>
      <c r="AI20" s="90">
        <v>0</v>
      </c>
      <c r="AJ20" s="90">
        <v>0</v>
      </c>
      <c r="AK20" s="90">
        <v>0</v>
      </c>
      <c r="AL20" s="90">
        <v>0</v>
      </c>
      <c r="AM20" s="89">
        <v>0</v>
      </c>
      <c r="AN20" s="90">
        <v>0</v>
      </c>
      <c r="AO20" s="90">
        <v>0</v>
      </c>
      <c r="AP20" s="90">
        <v>0</v>
      </c>
      <c r="AQ20" s="89">
        <f>SUM(AE20:AP20)</f>
        <v>468440.74</v>
      </c>
      <c r="AR20" s="78"/>
      <c r="AS20" s="197" t="s">
        <v>50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89">
        <f>SUM(AT20:BB20)</f>
        <v>0</v>
      </c>
      <c r="BD20" s="78"/>
      <c r="BE20" s="127"/>
      <c r="BF20" s="91"/>
      <c r="BG20" s="90">
        <v>0</v>
      </c>
      <c r="BH20" s="89">
        <v>0</v>
      </c>
      <c r="BI20" s="90">
        <v>0</v>
      </c>
      <c r="BJ20" s="89">
        <v>0</v>
      </c>
      <c r="BK20" s="89"/>
      <c r="BL20" s="89">
        <f>SUM(BG20:BK20)</f>
        <v>0</v>
      </c>
      <c r="BM20" s="80"/>
      <c r="BN20" s="80"/>
      <c r="BO20" s="69" t="s">
        <v>50</v>
      </c>
      <c r="BP20" s="90">
        <v>-1760000</v>
      </c>
      <c r="BQ20" s="90">
        <f>BP20*$BR$2</f>
        <v>-3683744.3104</v>
      </c>
    </row>
    <row r="21" spans="1:69" ht="16.5" customHeight="1">
      <c r="A21" s="81"/>
      <c r="C21" s="82">
        <f aca="true" t="shared" si="5" ref="C21:I21">C18+C20</f>
        <v>-42205796.92</v>
      </c>
      <c r="D21" s="82">
        <f t="shared" si="5"/>
        <v>-14145852.81</v>
      </c>
      <c r="E21" s="82">
        <f t="shared" si="5"/>
        <v>-7118841.18</v>
      </c>
      <c r="F21" s="82">
        <f t="shared" si="5"/>
        <v>-63470490.91</v>
      </c>
      <c r="G21" s="82">
        <v>1654853</v>
      </c>
      <c r="H21" s="82">
        <v>2983770.6780000003</v>
      </c>
      <c r="I21" s="82">
        <f t="shared" si="5"/>
        <v>-62141573.23199999</v>
      </c>
      <c r="J21" s="72"/>
      <c r="K21" s="72"/>
      <c r="L21" s="81"/>
      <c r="M21" s="82">
        <f aca="true" t="shared" si="6" ref="M21:AB21">M18+M20</f>
        <v>2917368</v>
      </c>
      <c r="N21" s="82">
        <f t="shared" si="6"/>
        <v>4308051</v>
      </c>
      <c r="O21" s="82">
        <f t="shared" si="6"/>
        <v>-4151703</v>
      </c>
      <c r="P21" s="82">
        <f>P18+P20</f>
        <v>-217463</v>
      </c>
      <c r="Q21" s="82">
        <f t="shared" si="6"/>
        <v>316880</v>
      </c>
      <c r="R21" s="82">
        <f t="shared" si="6"/>
        <v>-34884</v>
      </c>
      <c r="S21" s="82">
        <f t="shared" si="6"/>
        <v>-12121094</v>
      </c>
      <c r="T21" s="82">
        <f t="shared" si="6"/>
        <v>-14573.2</v>
      </c>
      <c r="U21" s="82">
        <f>U18+U20</f>
        <v>-60</v>
      </c>
      <c r="V21" s="82">
        <f t="shared" si="6"/>
        <v>-833016.88</v>
      </c>
      <c r="W21" s="82">
        <f t="shared" si="6"/>
        <v>-4811072</v>
      </c>
      <c r="X21" s="82">
        <f>X18+X20</f>
        <v>-1689</v>
      </c>
      <c r="Y21" s="82">
        <f t="shared" si="6"/>
        <v>-600</v>
      </c>
      <c r="Z21" s="82">
        <f t="shared" si="6"/>
        <v>504466.77</v>
      </c>
      <c r="AA21" s="82">
        <f t="shared" si="6"/>
        <v>-6463.5</v>
      </c>
      <c r="AB21" s="82">
        <f t="shared" si="6"/>
        <v>-14145852.81</v>
      </c>
      <c r="AC21" s="81"/>
      <c r="AD21" s="83">
        <f aca="true" t="shared" si="7" ref="AD21:AQ21">AD18+AD20</f>
        <v>0</v>
      </c>
      <c r="AE21" s="82">
        <f t="shared" si="7"/>
        <v>-1823.15</v>
      </c>
      <c r="AF21" s="82">
        <f t="shared" si="7"/>
        <v>-30</v>
      </c>
      <c r="AG21" s="82">
        <f t="shared" si="7"/>
        <v>0</v>
      </c>
      <c r="AH21" s="82">
        <f t="shared" si="7"/>
        <v>468440.74</v>
      </c>
      <c r="AI21" s="82">
        <f t="shared" si="7"/>
        <v>-1000</v>
      </c>
      <c r="AJ21" s="82">
        <f t="shared" si="7"/>
        <v>-1000</v>
      </c>
      <c r="AK21" s="82">
        <f t="shared" si="7"/>
        <v>-2105.63</v>
      </c>
      <c r="AL21" s="82">
        <f t="shared" si="7"/>
        <v>-2105.75</v>
      </c>
      <c r="AM21" s="82">
        <f>AM18+AM20</f>
        <v>-7285.24</v>
      </c>
      <c r="AN21" s="82">
        <f t="shared" si="7"/>
        <v>54409.8</v>
      </c>
      <c r="AO21" s="82">
        <f t="shared" si="7"/>
        <v>-2034</v>
      </c>
      <c r="AP21" s="82">
        <f t="shared" si="7"/>
        <v>-1000</v>
      </c>
      <c r="AQ21" s="82">
        <f t="shared" si="7"/>
        <v>504466.77</v>
      </c>
      <c r="AR21" s="72"/>
      <c r="AS21" s="81"/>
      <c r="AT21" s="82">
        <f aca="true" t="shared" si="8" ref="AT21:BC21">AT18+AT20</f>
        <v>-1000</v>
      </c>
      <c r="AU21" s="82">
        <f t="shared" si="8"/>
        <v>0</v>
      </c>
      <c r="AV21" s="82">
        <f t="shared" si="8"/>
        <v>-1270</v>
      </c>
      <c r="AW21" s="82">
        <f t="shared" si="8"/>
        <v>-1270</v>
      </c>
      <c r="AX21" s="82">
        <f t="shared" si="8"/>
        <v>-1000</v>
      </c>
      <c r="AY21" s="82">
        <f t="shared" si="8"/>
        <v>-70</v>
      </c>
      <c r="AZ21" s="82">
        <f t="shared" si="8"/>
        <v>-70</v>
      </c>
      <c r="BA21" s="82">
        <f t="shared" si="8"/>
        <v>-70</v>
      </c>
      <c r="BB21" s="82">
        <f t="shared" si="8"/>
        <v>-1713.5</v>
      </c>
      <c r="BC21" s="82">
        <f t="shared" si="8"/>
        <v>-6463.5</v>
      </c>
      <c r="BD21" s="72"/>
      <c r="BE21" s="127"/>
      <c r="BF21" s="81"/>
      <c r="BG21" s="82">
        <f aca="true" t="shared" si="9" ref="BG21:BL21">BG18+BG20</f>
        <v>-343925.06</v>
      </c>
      <c r="BH21" s="82">
        <f t="shared" si="9"/>
        <v>-1172572</v>
      </c>
      <c r="BI21" s="82">
        <f t="shared" si="9"/>
        <v>-5602344.12</v>
      </c>
      <c r="BJ21" s="82">
        <f t="shared" si="9"/>
        <v>0</v>
      </c>
      <c r="BK21" s="82">
        <f t="shared" si="9"/>
        <v>0</v>
      </c>
      <c r="BL21" s="82">
        <f t="shared" si="9"/>
        <v>-7118841.18</v>
      </c>
      <c r="BM21" s="84"/>
      <c r="BN21" s="84"/>
      <c r="BO21" s="81"/>
      <c r="BP21" s="82">
        <f>BP18+BP20</f>
        <v>-3748000</v>
      </c>
      <c r="BQ21" s="82">
        <f>BQ18+BQ20</f>
        <v>-7844700.95192</v>
      </c>
    </row>
    <row r="22" spans="1:69" ht="16.5" customHeight="1">
      <c r="A22" s="81"/>
      <c r="C22" s="82"/>
      <c r="D22" s="83"/>
      <c r="E22" s="83"/>
      <c r="F22" s="83"/>
      <c r="G22" s="83"/>
      <c r="H22" s="83"/>
      <c r="I22" s="82"/>
      <c r="J22" s="72"/>
      <c r="K22" s="72"/>
      <c r="L22" s="81"/>
      <c r="M22" s="82"/>
      <c r="N22" s="82"/>
      <c r="O22" s="82"/>
      <c r="P22" s="82"/>
      <c r="Q22" s="82"/>
      <c r="R22" s="83"/>
      <c r="S22" s="82"/>
      <c r="T22" s="82"/>
      <c r="U22" s="82"/>
      <c r="V22" s="82"/>
      <c r="W22" s="82"/>
      <c r="X22" s="82"/>
      <c r="Y22" s="82"/>
      <c r="Z22" s="82"/>
      <c r="AA22" s="82"/>
      <c r="AB22" s="83"/>
      <c r="AC22" s="81"/>
      <c r="AD22" s="84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3"/>
      <c r="AR22" s="72"/>
      <c r="AS22" s="81"/>
      <c r="AT22" s="82"/>
      <c r="AU22" s="82"/>
      <c r="AV22" s="82"/>
      <c r="AW22" s="82"/>
      <c r="AX22" s="82"/>
      <c r="AY22" s="82"/>
      <c r="AZ22" s="82"/>
      <c r="BA22" s="82"/>
      <c r="BB22" s="82"/>
      <c r="BC22" s="83"/>
      <c r="BD22" s="72"/>
      <c r="BE22" s="127"/>
      <c r="BF22" s="81"/>
      <c r="BG22" s="82"/>
      <c r="BH22" s="82"/>
      <c r="BI22" s="82"/>
      <c r="BJ22" s="82"/>
      <c r="BK22" s="82"/>
      <c r="BL22" s="83"/>
      <c r="BM22" s="84"/>
      <c r="BN22" s="84"/>
      <c r="BO22" s="81"/>
      <c r="BP22" s="82"/>
      <c r="BQ22" s="82"/>
    </row>
    <row r="23" spans="1:69" s="92" customFormat="1" ht="16.5" customHeight="1">
      <c r="A23" s="69" t="s">
        <v>62</v>
      </c>
      <c r="C23" s="90">
        <v>202971.66</v>
      </c>
      <c r="D23" s="89">
        <f>AB23</f>
        <v>2221491.464</v>
      </c>
      <c r="E23" s="89">
        <f>BL23</f>
        <v>0</v>
      </c>
      <c r="F23" s="89">
        <f>SUM(C23:E23)</f>
        <v>2424463.1240000003</v>
      </c>
      <c r="G23" s="89">
        <v>0</v>
      </c>
      <c r="H23" s="89">
        <v>0</v>
      </c>
      <c r="I23" s="90">
        <f>F23+G23-H23</f>
        <v>2424463.1240000003</v>
      </c>
      <c r="J23" s="78">
        <f>C23+S23</f>
        <v>297384.66000000003</v>
      </c>
      <c r="K23" s="78"/>
      <c r="L23" s="69" t="s">
        <v>62</v>
      </c>
      <c r="M23" s="425">
        <f>0.28*M21</f>
        <v>816863.04</v>
      </c>
      <c r="N23" s="425">
        <f>0.28*N21</f>
        <v>1206254.28</v>
      </c>
      <c r="O23" s="90">
        <v>0</v>
      </c>
      <c r="P23" s="90">
        <v>0</v>
      </c>
      <c r="Q23" s="425">
        <f>0.28*Q21</f>
        <v>88726.40000000001</v>
      </c>
      <c r="R23" s="89">
        <v>0</v>
      </c>
      <c r="S23" s="90">
        <v>94413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f>AQ23</f>
        <v>15234.744000000002</v>
      </c>
      <c r="AA23" s="90">
        <f>BC23</f>
        <v>0</v>
      </c>
      <c r="AB23" s="89">
        <f>SUM(M23:AA23)</f>
        <v>2221491.464</v>
      </c>
      <c r="AC23" s="78"/>
      <c r="AD23" s="69" t="s">
        <v>62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/>
      <c r="AN23" s="90">
        <f>0.28*AN21</f>
        <v>15234.744000000002</v>
      </c>
      <c r="AO23" s="90">
        <v>0</v>
      </c>
      <c r="AP23" s="90">
        <v>0</v>
      </c>
      <c r="AQ23" s="89">
        <f>SUM(AE23:AP23)</f>
        <v>15234.744000000002</v>
      </c>
      <c r="AR23" s="78"/>
      <c r="AS23" s="69" t="s">
        <v>62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89">
        <f>SUM(AT23:BB23)</f>
        <v>0</v>
      </c>
      <c r="BD23" s="78"/>
      <c r="BE23" s="209"/>
      <c r="BF23" s="69" t="s">
        <v>62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89">
        <f>SUM(BG23:BK23)</f>
        <v>0</v>
      </c>
      <c r="BM23" s="80"/>
      <c r="BN23" s="80"/>
      <c r="BO23" s="69" t="s">
        <v>62</v>
      </c>
      <c r="BP23" s="90">
        <v>0</v>
      </c>
      <c r="BQ23" s="90">
        <f>BP23*$BR$2</f>
        <v>0</v>
      </c>
    </row>
    <row r="24" spans="1:69" ht="16.5" customHeight="1">
      <c r="A24" s="75" t="s">
        <v>436</v>
      </c>
      <c r="C24" s="87">
        <f aca="true" t="shared" si="10" ref="C24:I24">C21-C23</f>
        <v>-42408768.58</v>
      </c>
      <c r="D24" s="87">
        <f t="shared" si="10"/>
        <v>-16367344.274</v>
      </c>
      <c r="E24" s="87">
        <f t="shared" si="10"/>
        <v>-7118841.18</v>
      </c>
      <c r="F24" s="87">
        <f t="shared" si="10"/>
        <v>-65894954.033999994</v>
      </c>
      <c r="G24" s="87">
        <v>1654853</v>
      </c>
      <c r="H24" s="87">
        <v>2983770.6780000003</v>
      </c>
      <c r="I24" s="87">
        <f t="shared" si="10"/>
        <v>-64566036.35599999</v>
      </c>
      <c r="J24" s="78"/>
      <c r="K24" s="72"/>
      <c r="L24" s="75" t="s">
        <v>436</v>
      </c>
      <c r="M24" s="87">
        <f aca="true" t="shared" si="11" ref="M24:AB24">M21-M23</f>
        <v>2100504.96</v>
      </c>
      <c r="N24" s="87">
        <f t="shared" si="11"/>
        <v>3101796.7199999997</v>
      </c>
      <c r="O24" s="87">
        <f t="shared" si="11"/>
        <v>-4151703</v>
      </c>
      <c r="P24" s="87">
        <f>P21-P23</f>
        <v>-217463</v>
      </c>
      <c r="Q24" s="87">
        <f t="shared" si="11"/>
        <v>228153.59999999998</v>
      </c>
      <c r="R24" s="87">
        <f t="shared" si="11"/>
        <v>-34884</v>
      </c>
      <c r="S24" s="87">
        <f t="shared" si="11"/>
        <v>-12215507</v>
      </c>
      <c r="T24" s="87">
        <f t="shared" si="11"/>
        <v>-14573.2</v>
      </c>
      <c r="U24" s="87">
        <f>U21-U23</f>
        <v>-60</v>
      </c>
      <c r="V24" s="87">
        <f t="shared" si="11"/>
        <v>-833016.88</v>
      </c>
      <c r="W24" s="87">
        <f t="shared" si="11"/>
        <v>-4811072</v>
      </c>
      <c r="X24" s="87">
        <f>X21-X23</f>
        <v>-1689</v>
      </c>
      <c r="Y24" s="87">
        <f t="shared" si="11"/>
        <v>-600</v>
      </c>
      <c r="Z24" s="87">
        <f t="shared" si="11"/>
        <v>489232.026</v>
      </c>
      <c r="AA24" s="87">
        <f t="shared" si="11"/>
        <v>-6463.5</v>
      </c>
      <c r="AB24" s="87">
        <f t="shared" si="11"/>
        <v>-16367344.274</v>
      </c>
      <c r="AC24" s="78"/>
      <c r="AD24" s="75" t="s">
        <v>436</v>
      </c>
      <c r="AE24" s="87">
        <f aca="true" t="shared" si="12" ref="AE24:BC24">AE21-AE23</f>
        <v>-1823.15</v>
      </c>
      <c r="AF24" s="87">
        <f t="shared" si="12"/>
        <v>-30</v>
      </c>
      <c r="AG24" s="87">
        <f t="shared" si="12"/>
        <v>0</v>
      </c>
      <c r="AH24" s="87">
        <f t="shared" si="12"/>
        <v>468440.74</v>
      </c>
      <c r="AI24" s="87">
        <f t="shared" si="12"/>
        <v>-1000</v>
      </c>
      <c r="AJ24" s="87">
        <f t="shared" si="12"/>
        <v>-1000</v>
      </c>
      <c r="AK24" s="87">
        <f t="shared" si="12"/>
        <v>-2105.63</v>
      </c>
      <c r="AL24" s="87">
        <f t="shared" si="12"/>
        <v>-2105.75</v>
      </c>
      <c r="AM24" s="87">
        <f>AM21-AM23</f>
        <v>-7285.24</v>
      </c>
      <c r="AN24" s="87">
        <f t="shared" si="12"/>
        <v>39175.056</v>
      </c>
      <c r="AO24" s="87">
        <f t="shared" si="12"/>
        <v>-2034</v>
      </c>
      <c r="AP24" s="87">
        <f t="shared" si="12"/>
        <v>-1000</v>
      </c>
      <c r="AQ24" s="87">
        <f t="shared" si="12"/>
        <v>489232.026</v>
      </c>
      <c r="AR24" s="69"/>
      <c r="AS24" s="87">
        <f t="shared" si="12"/>
        <v>0</v>
      </c>
      <c r="AT24" s="87">
        <f t="shared" si="12"/>
        <v>-1000</v>
      </c>
      <c r="AU24" s="87">
        <f t="shared" si="12"/>
        <v>0</v>
      </c>
      <c r="AV24" s="87">
        <f t="shared" si="12"/>
        <v>-1270</v>
      </c>
      <c r="AW24" s="87">
        <f t="shared" si="12"/>
        <v>-1270</v>
      </c>
      <c r="AX24" s="87">
        <f t="shared" si="12"/>
        <v>-1000</v>
      </c>
      <c r="AY24" s="87">
        <f t="shared" si="12"/>
        <v>-70</v>
      </c>
      <c r="AZ24" s="87">
        <f t="shared" si="12"/>
        <v>-70</v>
      </c>
      <c r="BA24" s="87">
        <f t="shared" si="12"/>
        <v>-70</v>
      </c>
      <c r="BB24" s="87">
        <f t="shared" si="12"/>
        <v>-1713.5</v>
      </c>
      <c r="BC24" s="87">
        <f t="shared" si="12"/>
        <v>-6463.5</v>
      </c>
      <c r="BD24" s="78"/>
      <c r="BE24" s="127"/>
      <c r="BF24" s="75" t="s">
        <v>436</v>
      </c>
      <c r="BG24" s="87">
        <f aca="true" t="shared" si="13" ref="BG24:BL24">BG21-BG23</f>
        <v>-343925.06</v>
      </c>
      <c r="BH24" s="87">
        <f t="shared" si="13"/>
        <v>-1172572</v>
      </c>
      <c r="BI24" s="87">
        <f t="shared" si="13"/>
        <v>-5602344.12</v>
      </c>
      <c r="BJ24" s="87">
        <f t="shared" si="13"/>
        <v>0</v>
      </c>
      <c r="BK24" s="87">
        <f t="shared" si="13"/>
        <v>0</v>
      </c>
      <c r="BL24" s="87">
        <f t="shared" si="13"/>
        <v>-7118841.18</v>
      </c>
      <c r="BM24" s="80"/>
      <c r="BN24" s="80"/>
      <c r="BO24" s="75" t="s">
        <v>436</v>
      </c>
      <c r="BP24" s="87">
        <f>BP21-BP23</f>
        <v>-3748000</v>
      </c>
      <c r="BQ24" s="87">
        <f>BQ21-BQ23</f>
        <v>-7844700.95192</v>
      </c>
    </row>
    <row r="25" spans="1:69" ht="16.5" customHeight="1">
      <c r="A25" s="81"/>
      <c r="C25" s="82"/>
      <c r="D25" s="88"/>
      <c r="E25" s="88"/>
      <c r="F25" s="83"/>
      <c r="G25" s="83"/>
      <c r="H25" s="83"/>
      <c r="I25" s="82"/>
      <c r="J25" s="72"/>
      <c r="K25" s="72"/>
      <c r="L25" s="81"/>
      <c r="M25" s="82"/>
      <c r="N25" s="88"/>
      <c r="O25" s="83"/>
      <c r="P25" s="83"/>
      <c r="Q25" s="82"/>
      <c r="R25" s="83"/>
      <c r="S25" s="83"/>
      <c r="T25" s="83"/>
      <c r="U25" s="83"/>
      <c r="V25" s="83"/>
      <c r="W25" s="83"/>
      <c r="X25" s="82"/>
      <c r="Y25" s="83"/>
      <c r="Z25" s="83"/>
      <c r="AA25" s="83"/>
      <c r="AB25" s="83"/>
      <c r="AC25" s="72"/>
      <c r="AD25" s="81"/>
      <c r="AE25" s="82"/>
      <c r="AF25" s="88"/>
      <c r="AG25" s="88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72"/>
      <c r="AS25" s="81"/>
      <c r="AT25" s="82"/>
      <c r="AU25" s="83"/>
      <c r="AV25" s="83"/>
      <c r="AW25" s="83"/>
      <c r="AX25" s="83"/>
      <c r="AY25" s="83"/>
      <c r="AZ25" s="83"/>
      <c r="BA25" s="83"/>
      <c r="BB25" s="83"/>
      <c r="BC25" s="83"/>
      <c r="BD25" s="72"/>
      <c r="BE25" s="127"/>
      <c r="BF25" s="81"/>
      <c r="BG25" s="82"/>
      <c r="BH25" s="83"/>
      <c r="BI25" s="82"/>
      <c r="BJ25" s="88"/>
      <c r="BK25" s="83"/>
      <c r="BL25" s="83"/>
      <c r="BM25" s="84"/>
      <c r="BN25" s="84"/>
      <c r="BO25" s="81"/>
      <c r="BP25" s="82"/>
      <c r="BQ25" s="82"/>
    </row>
    <row r="26" spans="1:69" ht="16.5" customHeight="1">
      <c r="A26" s="69" t="s">
        <v>63</v>
      </c>
      <c r="C26" s="85">
        <v>0</v>
      </c>
      <c r="D26" s="89">
        <f>AB26</f>
        <v>0</v>
      </c>
      <c r="E26" s="89">
        <f>BL26</f>
        <v>0</v>
      </c>
      <c r="F26" s="89">
        <f>SUM(C26:E26)</f>
        <v>0</v>
      </c>
      <c r="G26" s="89">
        <v>0</v>
      </c>
      <c r="H26" s="89">
        <v>0</v>
      </c>
      <c r="I26" s="90">
        <f>F26+G26-H26</f>
        <v>0</v>
      </c>
      <c r="J26" s="84"/>
      <c r="K26" s="84"/>
      <c r="L26" s="69" t="s">
        <v>63</v>
      </c>
      <c r="M26" s="85"/>
      <c r="N26" s="89"/>
      <c r="O26" s="89"/>
      <c r="P26" s="89"/>
      <c r="Q26" s="85"/>
      <c r="R26" s="89"/>
      <c r="S26" s="89"/>
      <c r="T26" s="89"/>
      <c r="U26" s="89"/>
      <c r="V26" s="89"/>
      <c r="W26" s="89"/>
      <c r="X26" s="85"/>
      <c r="Y26" s="89"/>
      <c r="Z26" s="89">
        <f>AQ26</f>
        <v>0</v>
      </c>
      <c r="AA26" s="89">
        <f>BC26</f>
        <v>0</v>
      </c>
      <c r="AB26" s="89">
        <f>SUM(M26:AA26)</f>
        <v>0</v>
      </c>
      <c r="AC26" s="80"/>
      <c r="AD26" s="69" t="s">
        <v>63</v>
      </c>
      <c r="AE26" s="85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>
        <f>SUM(AE26:AP26)</f>
        <v>0</v>
      </c>
      <c r="AR26" s="80"/>
      <c r="AS26" s="69" t="s">
        <v>63</v>
      </c>
      <c r="AT26" s="85"/>
      <c r="AU26" s="85"/>
      <c r="AV26" s="89"/>
      <c r="AW26" s="89"/>
      <c r="AX26" s="89"/>
      <c r="AY26" s="89"/>
      <c r="AZ26" s="89"/>
      <c r="BA26" s="89"/>
      <c r="BB26" s="89"/>
      <c r="BC26" s="89">
        <f>SUM(AT26:BB26)</f>
        <v>0</v>
      </c>
      <c r="BD26" s="80"/>
      <c r="BE26" s="128"/>
      <c r="BF26" s="69" t="s">
        <v>63</v>
      </c>
      <c r="BG26" s="85"/>
      <c r="BH26" s="89"/>
      <c r="BI26" s="85"/>
      <c r="BJ26" s="89">
        <f>BQ26</f>
        <v>0</v>
      </c>
      <c r="BK26" s="89"/>
      <c r="BL26" s="89">
        <f>SUM(BG26:BK26)</f>
        <v>0</v>
      </c>
      <c r="BM26" s="80"/>
      <c r="BN26" s="80"/>
      <c r="BO26" s="69" t="s">
        <v>63</v>
      </c>
      <c r="BP26" s="85"/>
      <c r="BQ26" s="85">
        <f>BP26*$BR$2</f>
        <v>0</v>
      </c>
    </row>
    <row r="27" spans="1:69" ht="16.5" customHeight="1">
      <c r="A27" s="75" t="s">
        <v>437</v>
      </c>
      <c r="C27" s="87">
        <f>C24-C26</f>
        <v>-42408768.58</v>
      </c>
      <c r="D27" s="88">
        <f>D24-D26</f>
        <v>-16367344.274</v>
      </c>
      <c r="E27" s="88">
        <f>E24-E26</f>
        <v>-7118841.18</v>
      </c>
      <c r="F27" s="88">
        <f>F24-F26</f>
        <v>-65894954.033999994</v>
      </c>
      <c r="G27" s="88">
        <v>1654853</v>
      </c>
      <c r="H27" s="88">
        <v>2983770.6780000003</v>
      </c>
      <c r="I27" s="87">
        <f>I24-I26</f>
        <v>-64566036.35599999</v>
      </c>
      <c r="J27" s="78"/>
      <c r="K27" s="72"/>
      <c r="L27" s="75" t="s">
        <v>437</v>
      </c>
      <c r="M27" s="87">
        <f aca="true" t="shared" si="14" ref="M27:AB27">M24-M26</f>
        <v>2100504.96</v>
      </c>
      <c r="N27" s="88">
        <f t="shared" si="14"/>
        <v>3101796.7199999997</v>
      </c>
      <c r="O27" s="88">
        <f t="shared" si="14"/>
        <v>-4151703</v>
      </c>
      <c r="P27" s="88">
        <f>P24-P26</f>
        <v>-217463</v>
      </c>
      <c r="Q27" s="87">
        <f t="shared" si="14"/>
        <v>228153.59999999998</v>
      </c>
      <c r="R27" s="88">
        <f t="shared" si="14"/>
        <v>-34884</v>
      </c>
      <c r="S27" s="88">
        <f t="shared" si="14"/>
        <v>-12215507</v>
      </c>
      <c r="T27" s="88">
        <f t="shared" si="14"/>
        <v>-14573.2</v>
      </c>
      <c r="U27" s="88">
        <f>U24-U26</f>
        <v>-60</v>
      </c>
      <c r="V27" s="88">
        <f t="shared" si="14"/>
        <v>-833016.88</v>
      </c>
      <c r="W27" s="88">
        <f t="shared" si="14"/>
        <v>-4811072</v>
      </c>
      <c r="X27" s="87">
        <f>X24-X26</f>
        <v>-1689</v>
      </c>
      <c r="Y27" s="88">
        <f t="shared" si="14"/>
        <v>-600</v>
      </c>
      <c r="Z27" s="88">
        <f t="shared" si="14"/>
        <v>489232.026</v>
      </c>
      <c r="AA27" s="88">
        <f t="shared" si="14"/>
        <v>-6463.5</v>
      </c>
      <c r="AB27" s="88">
        <f t="shared" si="14"/>
        <v>-16367344.274</v>
      </c>
      <c r="AC27" s="78"/>
      <c r="AD27" s="75" t="s">
        <v>437</v>
      </c>
      <c r="AE27" s="87">
        <f aca="true" t="shared" si="15" ref="AE27:AQ27">AE24-AE26</f>
        <v>-1823.15</v>
      </c>
      <c r="AF27" s="88">
        <f t="shared" si="15"/>
        <v>-30</v>
      </c>
      <c r="AG27" s="88">
        <f t="shared" si="15"/>
        <v>0</v>
      </c>
      <c r="AH27" s="88">
        <f t="shared" si="15"/>
        <v>468440.74</v>
      </c>
      <c r="AI27" s="88">
        <f t="shared" si="15"/>
        <v>-1000</v>
      </c>
      <c r="AJ27" s="88">
        <f t="shared" si="15"/>
        <v>-1000</v>
      </c>
      <c r="AK27" s="88">
        <f t="shared" si="15"/>
        <v>-2105.63</v>
      </c>
      <c r="AL27" s="88">
        <f t="shared" si="15"/>
        <v>-2105.75</v>
      </c>
      <c r="AM27" s="88">
        <f>AM24-AM26</f>
        <v>-7285.24</v>
      </c>
      <c r="AN27" s="88">
        <f t="shared" si="15"/>
        <v>39175.056</v>
      </c>
      <c r="AO27" s="88">
        <f t="shared" si="15"/>
        <v>-2034</v>
      </c>
      <c r="AP27" s="88">
        <f t="shared" si="15"/>
        <v>-1000</v>
      </c>
      <c r="AQ27" s="88">
        <f t="shared" si="15"/>
        <v>489232.026</v>
      </c>
      <c r="AR27" s="78"/>
      <c r="AS27" s="75" t="s">
        <v>437</v>
      </c>
      <c r="AT27" s="87">
        <f aca="true" t="shared" si="16" ref="AT27:BC27">AT24-AT26</f>
        <v>-1000</v>
      </c>
      <c r="AU27" s="87">
        <f t="shared" si="16"/>
        <v>0</v>
      </c>
      <c r="AV27" s="88">
        <f t="shared" si="16"/>
        <v>-1270</v>
      </c>
      <c r="AW27" s="88">
        <f t="shared" si="16"/>
        <v>-1270</v>
      </c>
      <c r="AX27" s="88">
        <f t="shared" si="16"/>
        <v>-1000</v>
      </c>
      <c r="AY27" s="88">
        <f t="shared" si="16"/>
        <v>-70</v>
      </c>
      <c r="AZ27" s="88">
        <f t="shared" si="16"/>
        <v>-70</v>
      </c>
      <c r="BA27" s="88">
        <f t="shared" si="16"/>
        <v>-70</v>
      </c>
      <c r="BB27" s="88">
        <f t="shared" si="16"/>
        <v>-1713.5</v>
      </c>
      <c r="BC27" s="88">
        <f t="shared" si="16"/>
        <v>-6463.5</v>
      </c>
      <c r="BD27" s="78"/>
      <c r="BE27" s="127"/>
      <c r="BF27" s="75" t="s">
        <v>437</v>
      </c>
      <c r="BG27" s="87">
        <f aca="true" t="shared" si="17" ref="BG27:BL27">BG24-BG26</f>
        <v>-343925.06</v>
      </c>
      <c r="BH27" s="88">
        <f t="shared" si="17"/>
        <v>-1172572</v>
      </c>
      <c r="BI27" s="87">
        <f t="shared" si="17"/>
        <v>-5602344.12</v>
      </c>
      <c r="BJ27" s="88">
        <f t="shared" si="17"/>
        <v>0</v>
      </c>
      <c r="BK27" s="88">
        <f t="shared" si="17"/>
        <v>0</v>
      </c>
      <c r="BL27" s="88">
        <f t="shared" si="17"/>
        <v>-7118841.18</v>
      </c>
      <c r="BM27" s="80"/>
      <c r="BN27" s="80"/>
      <c r="BO27" s="75" t="s">
        <v>437</v>
      </c>
      <c r="BP27" s="87">
        <f>BP24-BP26</f>
        <v>-3748000</v>
      </c>
      <c r="BQ27" s="87">
        <f>BQ24-BQ26</f>
        <v>-7844700.95192</v>
      </c>
    </row>
    <row r="28" spans="1:69" ht="16.5" customHeight="1">
      <c r="A28" s="69" t="s">
        <v>64</v>
      </c>
      <c r="C28" s="87"/>
      <c r="D28" s="88"/>
      <c r="E28" s="88"/>
      <c r="F28" s="88"/>
      <c r="G28" s="83"/>
      <c r="H28" s="83"/>
      <c r="I28" s="82"/>
      <c r="J28" s="72"/>
      <c r="K28" s="72"/>
      <c r="L28" s="69" t="s">
        <v>64</v>
      </c>
      <c r="M28" s="87"/>
      <c r="N28" s="88"/>
      <c r="O28" s="83"/>
      <c r="P28" s="83"/>
      <c r="Q28" s="87"/>
      <c r="R28" s="83"/>
      <c r="S28" s="83"/>
      <c r="T28" s="83"/>
      <c r="U28" s="83"/>
      <c r="V28" s="83"/>
      <c r="W28" s="83"/>
      <c r="X28" s="87"/>
      <c r="Y28" s="83"/>
      <c r="Z28" s="83"/>
      <c r="AA28" s="83"/>
      <c r="AB28" s="83"/>
      <c r="AC28" s="72"/>
      <c r="AD28" s="69" t="s">
        <v>64</v>
      </c>
      <c r="AE28" s="87"/>
      <c r="AF28" s="88"/>
      <c r="AG28" s="88"/>
      <c r="AH28" s="88"/>
      <c r="AI28" s="83"/>
      <c r="AJ28" s="83"/>
      <c r="AK28" s="83"/>
      <c r="AL28" s="83"/>
      <c r="AM28" s="88"/>
      <c r="AN28" s="83"/>
      <c r="AO28" s="83"/>
      <c r="AP28" s="83"/>
      <c r="AQ28" s="83"/>
      <c r="AR28" s="72"/>
      <c r="AS28" s="69" t="s">
        <v>64</v>
      </c>
      <c r="AT28" s="87"/>
      <c r="AU28" s="87"/>
      <c r="AV28" s="83"/>
      <c r="AW28" s="83"/>
      <c r="AX28" s="83"/>
      <c r="AY28" s="83"/>
      <c r="AZ28" s="83"/>
      <c r="BA28" s="83"/>
      <c r="BB28" s="83"/>
      <c r="BC28" s="83"/>
      <c r="BD28" s="72"/>
      <c r="BE28" s="127"/>
      <c r="BF28" s="69" t="s">
        <v>64</v>
      </c>
      <c r="BG28" s="87"/>
      <c r="BH28" s="83"/>
      <c r="BI28" s="87"/>
      <c r="BJ28" s="88"/>
      <c r="BK28" s="83"/>
      <c r="BL28" s="83"/>
      <c r="BM28" s="84"/>
      <c r="BN28" s="84"/>
      <c r="BO28" s="69" t="s">
        <v>64</v>
      </c>
      <c r="BP28" s="87"/>
      <c r="BQ28" s="87"/>
    </row>
    <row r="29" spans="1:69" ht="16.5" customHeight="1">
      <c r="A29" s="69" t="s">
        <v>65</v>
      </c>
      <c r="C29" s="90">
        <v>0</v>
      </c>
      <c r="D29" s="89">
        <f>AB29</f>
        <v>0</v>
      </c>
      <c r="E29" s="89">
        <f>BL29</f>
        <v>0</v>
      </c>
      <c r="F29" s="89">
        <f>SUM(C29:E29)</f>
        <v>0</v>
      </c>
      <c r="G29" s="89">
        <v>0</v>
      </c>
      <c r="H29" s="89">
        <v>0</v>
      </c>
      <c r="I29" s="90">
        <f>F29-G29+H29</f>
        <v>0</v>
      </c>
      <c r="J29" s="72"/>
      <c r="K29" s="72"/>
      <c r="L29" s="69" t="s">
        <v>65</v>
      </c>
      <c r="M29" s="90"/>
      <c r="N29" s="89"/>
      <c r="O29" s="89"/>
      <c r="P29" s="89"/>
      <c r="Q29" s="90">
        <v>0</v>
      </c>
      <c r="R29" s="89"/>
      <c r="S29" s="89">
        <v>0</v>
      </c>
      <c r="T29" s="89"/>
      <c r="U29" s="89"/>
      <c r="V29" s="89"/>
      <c r="W29" s="89"/>
      <c r="X29" s="90">
        <v>0</v>
      </c>
      <c r="Y29" s="89"/>
      <c r="Z29" s="89">
        <f>AQ29</f>
        <v>0</v>
      </c>
      <c r="AA29" s="89">
        <f>BC29</f>
        <v>0</v>
      </c>
      <c r="AB29" s="89">
        <f>SUM(M29:AA29)</f>
        <v>0</v>
      </c>
      <c r="AC29" s="78"/>
      <c r="AD29" s="69" t="s">
        <v>65</v>
      </c>
      <c r="AE29" s="90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>
        <v>0</v>
      </c>
      <c r="AQ29" s="89">
        <f>SUM(AE29:AP29)</f>
        <v>0</v>
      </c>
      <c r="AR29" s="78"/>
      <c r="AS29" s="69" t="s">
        <v>65</v>
      </c>
      <c r="AT29" s="90"/>
      <c r="AU29" s="90"/>
      <c r="AV29" s="89"/>
      <c r="AW29" s="89"/>
      <c r="AX29" s="89"/>
      <c r="AY29" s="89"/>
      <c r="AZ29" s="89"/>
      <c r="BA29" s="89"/>
      <c r="BB29" s="89">
        <v>0</v>
      </c>
      <c r="BC29" s="89">
        <f>SUM(AT29:BB29)</f>
        <v>0</v>
      </c>
      <c r="BD29" s="78"/>
      <c r="BE29" s="127"/>
      <c r="BF29" s="69" t="s">
        <v>65</v>
      </c>
      <c r="BG29" s="90">
        <v>0</v>
      </c>
      <c r="BH29" s="89">
        <v>0</v>
      </c>
      <c r="BI29" s="90">
        <v>0</v>
      </c>
      <c r="BJ29" s="89">
        <f>BQ29</f>
        <v>0</v>
      </c>
      <c r="BK29" s="89"/>
      <c r="BL29" s="89">
        <f>SUM(BG29:BK29)</f>
        <v>0</v>
      </c>
      <c r="BM29" s="80"/>
      <c r="BN29" s="80"/>
      <c r="BO29" s="69" t="s">
        <v>65</v>
      </c>
      <c r="BP29" s="90"/>
      <c r="BQ29" s="90">
        <f>BP29*$BR$2</f>
        <v>0</v>
      </c>
    </row>
    <row r="30" spans="1:69" ht="16.5" customHeight="1">
      <c r="A30" s="91" t="s">
        <v>438</v>
      </c>
      <c r="C30" s="87">
        <f>C27+C29</f>
        <v>-42408768.58</v>
      </c>
      <c r="D30" s="88">
        <f aca="true" t="shared" si="18" ref="D30:I30">D27+D29</f>
        <v>-16367344.274</v>
      </c>
      <c r="E30" s="88">
        <f t="shared" si="18"/>
        <v>-7118841.18</v>
      </c>
      <c r="F30" s="88">
        <f t="shared" si="18"/>
        <v>-65894954.033999994</v>
      </c>
      <c r="G30" s="88">
        <v>1654853</v>
      </c>
      <c r="H30" s="88">
        <v>2983770.6780000003</v>
      </c>
      <c r="I30" s="87">
        <f t="shared" si="18"/>
        <v>-64566036.35599999</v>
      </c>
      <c r="J30" s="72"/>
      <c r="L30" s="91" t="s">
        <v>438</v>
      </c>
      <c r="M30" s="87">
        <f aca="true" t="shared" si="19" ref="M30:AB30">M27+M29</f>
        <v>2100504.96</v>
      </c>
      <c r="N30" s="88">
        <f t="shared" si="19"/>
        <v>3101796.7199999997</v>
      </c>
      <c r="O30" s="88">
        <f t="shared" si="19"/>
        <v>-4151703</v>
      </c>
      <c r="P30" s="88">
        <f>P27+P29</f>
        <v>-217463</v>
      </c>
      <c r="Q30" s="87">
        <f t="shared" si="19"/>
        <v>228153.59999999998</v>
      </c>
      <c r="R30" s="88">
        <f t="shared" si="19"/>
        <v>-34884</v>
      </c>
      <c r="S30" s="88">
        <f t="shared" si="19"/>
        <v>-12215507</v>
      </c>
      <c r="T30" s="88">
        <f t="shared" si="19"/>
        <v>-14573.2</v>
      </c>
      <c r="U30" s="88">
        <f>U27+U29</f>
        <v>-60</v>
      </c>
      <c r="V30" s="88">
        <f t="shared" si="19"/>
        <v>-833016.88</v>
      </c>
      <c r="W30" s="88">
        <f t="shared" si="19"/>
        <v>-4811072</v>
      </c>
      <c r="X30" s="87">
        <f>X27+X29</f>
        <v>-1689</v>
      </c>
      <c r="Y30" s="88">
        <f t="shared" si="19"/>
        <v>-600</v>
      </c>
      <c r="Z30" s="88">
        <f t="shared" si="19"/>
        <v>489232.026</v>
      </c>
      <c r="AA30" s="88">
        <f t="shared" si="19"/>
        <v>-6463.5</v>
      </c>
      <c r="AB30" s="88">
        <f t="shared" si="19"/>
        <v>-16367344.274</v>
      </c>
      <c r="AC30" s="78"/>
      <c r="AD30" s="91" t="s">
        <v>438</v>
      </c>
      <c r="AE30" s="87">
        <f aca="true" t="shared" si="20" ref="AE30:AQ30">AE27+AE29</f>
        <v>-1823.15</v>
      </c>
      <c r="AF30" s="88">
        <f t="shared" si="20"/>
        <v>-30</v>
      </c>
      <c r="AG30" s="88">
        <f t="shared" si="20"/>
        <v>0</v>
      </c>
      <c r="AH30" s="88">
        <f t="shared" si="20"/>
        <v>468440.74</v>
      </c>
      <c r="AI30" s="88">
        <f t="shared" si="20"/>
        <v>-1000</v>
      </c>
      <c r="AJ30" s="88">
        <f t="shared" si="20"/>
        <v>-1000</v>
      </c>
      <c r="AK30" s="88">
        <f t="shared" si="20"/>
        <v>-2105.63</v>
      </c>
      <c r="AL30" s="88">
        <f t="shared" si="20"/>
        <v>-2105.75</v>
      </c>
      <c r="AM30" s="88">
        <f>AM27+AM29</f>
        <v>-7285.24</v>
      </c>
      <c r="AN30" s="88">
        <f t="shared" si="20"/>
        <v>39175.056</v>
      </c>
      <c r="AO30" s="88">
        <f t="shared" si="20"/>
        <v>-2034</v>
      </c>
      <c r="AP30" s="88">
        <f t="shared" si="20"/>
        <v>-1000</v>
      </c>
      <c r="AQ30" s="88">
        <f t="shared" si="20"/>
        <v>489232.026</v>
      </c>
      <c r="AR30" s="78"/>
      <c r="AS30" s="91" t="s">
        <v>438</v>
      </c>
      <c r="AT30" s="87">
        <f aca="true" t="shared" si="21" ref="AT30:BC30">AT27+AT29</f>
        <v>-1000</v>
      </c>
      <c r="AU30" s="87">
        <f t="shared" si="21"/>
        <v>0</v>
      </c>
      <c r="AV30" s="88">
        <f t="shared" si="21"/>
        <v>-1270</v>
      </c>
      <c r="AW30" s="88">
        <f t="shared" si="21"/>
        <v>-1270</v>
      </c>
      <c r="AX30" s="88">
        <f t="shared" si="21"/>
        <v>-1000</v>
      </c>
      <c r="AY30" s="88">
        <f t="shared" si="21"/>
        <v>-70</v>
      </c>
      <c r="AZ30" s="88">
        <f t="shared" si="21"/>
        <v>-70</v>
      </c>
      <c r="BA30" s="88">
        <f t="shared" si="21"/>
        <v>-70</v>
      </c>
      <c r="BB30" s="88">
        <f t="shared" si="21"/>
        <v>-1713.5</v>
      </c>
      <c r="BC30" s="88">
        <f t="shared" si="21"/>
        <v>-6463.5</v>
      </c>
      <c r="BD30" s="78"/>
      <c r="BE30" s="127"/>
      <c r="BF30" s="91" t="s">
        <v>438</v>
      </c>
      <c r="BG30" s="87">
        <f aca="true" t="shared" si="22" ref="BG30:BL30">BG27+BG29</f>
        <v>-343925.06</v>
      </c>
      <c r="BH30" s="88">
        <f t="shared" si="22"/>
        <v>-1172572</v>
      </c>
      <c r="BI30" s="87">
        <f t="shared" si="22"/>
        <v>-5602344.12</v>
      </c>
      <c r="BJ30" s="88">
        <f t="shared" si="22"/>
        <v>0</v>
      </c>
      <c r="BK30" s="88">
        <f t="shared" si="22"/>
        <v>0</v>
      </c>
      <c r="BL30" s="88">
        <f t="shared" si="22"/>
        <v>-7118841.18</v>
      </c>
      <c r="BM30" s="80"/>
      <c r="BN30" s="80"/>
      <c r="BO30" s="91" t="s">
        <v>438</v>
      </c>
      <c r="BP30" s="87">
        <f>BP27+BP29</f>
        <v>-3748000</v>
      </c>
      <c r="BQ30" s="87">
        <f>BQ27+BQ29</f>
        <v>-7844700.95192</v>
      </c>
    </row>
    <row r="31" spans="1:69" s="129" customFormat="1" ht="16.5" customHeight="1">
      <c r="A31" s="124"/>
      <c r="C31" s="125"/>
      <c r="D31" s="125"/>
      <c r="E31" s="125"/>
      <c r="F31" s="125"/>
      <c r="G31" s="125"/>
      <c r="H31" s="125"/>
      <c r="I31" s="125"/>
      <c r="J31" s="127"/>
      <c r="K31" s="127"/>
      <c r="L31" s="124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4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4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4"/>
      <c r="BE31" s="128"/>
      <c r="BF31" s="125"/>
      <c r="BG31" s="125"/>
      <c r="BH31" s="125"/>
      <c r="BI31" s="125"/>
      <c r="BJ31" s="125"/>
      <c r="BK31" s="125"/>
      <c r="BL31" s="125"/>
      <c r="BM31" s="128"/>
      <c r="BN31" s="128"/>
      <c r="BO31" s="124"/>
      <c r="BP31" s="125"/>
      <c r="BQ31" s="125"/>
    </row>
    <row r="32" spans="1:70" ht="16.5" customHeight="1">
      <c r="A32" s="69" t="s">
        <v>439</v>
      </c>
      <c r="C32" s="90">
        <f>-768468359+1</f>
        <v>-768468358</v>
      </c>
      <c r="D32" s="89">
        <f>AB32</f>
        <v>-497969866.16999996</v>
      </c>
      <c r="E32" s="89">
        <f>BL32</f>
        <v>-79219312.36</v>
      </c>
      <c r="F32" s="89">
        <f>SUM(C32:E32)</f>
        <v>-1345657536.53</v>
      </c>
      <c r="G32" s="89">
        <v>235076520.83000004</v>
      </c>
      <c r="H32" s="89">
        <v>678761204.83</v>
      </c>
      <c r="I32" s="90">
        <f>F32-G32+H32</f>
        <v>-901972852.5300001</v>
      </c>
      <c r="J32" s="84"/>
      <c r="K32" s="84"/>
      <c r="L32" s="69" t="s">
        <v>439</v>
      </c>
      <c r="M32" s="403">
        <v>4700360</v>
      </c>
      <c r="N32" s="427">
        <f>-19847074-8700000-2199999-1</f>
        <v>-30747074</v>
      </c>
      <c r="O32" s="405">
        <f>-72512040-11</f>
        <v>-72512051</v>
      </c>
      <c r="P32" s="405">
        <v>-17448270</v>
      </c>
      <c r="Q32" s="403">
        <f>-5584937+2</f>
        <v>-5584935</v>
      </c>
      <c r="R32" s="405">
        <f>-6413779+1</f>
        <v>-6413778</v>
      </c>
      <c r="S32" s="405">
        <v>-196717111</v>
      </c>
      <c r="T32" s="89">
        <v>-480744.32</v>
      </c>
      <c r="U32" s="405">
        <v>-3866575</v>
      </c>
      <c r="V32" s="254">
        <f>1355550</f>
        <v>1355550</v>
      </c>
      <c r="W32" s="254">
        <f>-166558487+40089538</f>
        <v>-126468949</v>
      </c>
      <c r="X32" s="90">
        <v>-6513269</v>
      </c>
      <c r="Y32" s="405">
        <f>141911+1</f>
        <v>141912</v>
      </c>
      <c r="Z32" s="89">
        <f>AQ32</f>
        <v>-35176078.89</v>
      </c>
      <c r="AA32" s="89">
        <f>BC32</f>
        <v>-2238852.96</v>
      </c>
      <c r="AB32" s="89">
        <f>SUM(M32:AA32)</f>
        <v>-497969866.16999996</v>
      </c>
      <c r="AC32" s="69"/>
      <c r="AD32" s="87" t="s">
        <v>439</v>
      </c>
      <c r="AE32" s="90">
        <v>-172194</v>
      </c>
      <c r="AF32" s="89">
        <v>-13776</v>
      </c>
      <c r="AG32" s="405">
        <v>-6781742</v>
      </c>
      <c r="AH32" s="405">
        <v>-9483249</v>
      </c>
      <c r="AI32" s="89">
        <v>-3800</v>
      </c>
      <c r="AJ32" s="89">
        <v>-3800</v>
      </c>
      <c r="AK32" s="89">
        <v>-8536.75</v>
      </c>
      <c r="AL32" s="89">
        <v>-8536.75</v>
      </c>
      <c r="AM32" s="405">
        <v>-1626807.16</v>
      </c>
      <c r="AN32" s="89">
        <f>-1673915.23-414000</f>
        <v>-2087915.23</v>
      </c>
      <c r="AO32" s="89">
        <v>-984603</v>
      </c>
      <c r="AP32" s="405">
        <v>-14001119</v>
      </c>
      <c r="AQ32" s="89">
        <f>SUM(AE32:AP32)</f>
        <v>-35176078.89</v>
      </c>
      <c r="AR32" s="80"/>
      <c r="AS32" s="69" t="s">
        <v>439</v>
      </c>
      <c r="AT32" s="90">
        <v>-18161</v>
      </c>
      <c r="AU32" s="89">
        <v>0</v>
      </c>
      <c r="AV32" s="89">
        <v>-1510192.7</v>
      </c>
      <c r="AW32" s="89">
        <v>-9190.9</v>
      </c>
      <c r="AX32" s="89">
        <f>-13200-26200</f>
        <v>-39400</v>
      </c>
      <c r="AY32" s="89">
        <v>-595523</v>
      </c>
      <c r="AZ32" s="89">
        <v>-7401.85</v>
      </c>
      <c r="BA32" s="89">
        <v>-7801.85</v>
      </c>
      <c r="BB32" s="212">
        <f>-50078.66-1103</f>
        <v>-51181.66</v>
      </c>
      <c r="BC32" s="89">
        <f>SUM(AT32:BB32)</f>
        <v>-2238852.96</v>
      </c>
      <c r="BD32" s="80"/>
      <c r="BE32" s="128"/>
      <c r="BF32" s="69" t="s">
        <v>439</v>
      </c>
      <c r="BG32" s="90">
        <v>-12855083.36</v>
      </c>
      <c r="BH32" s="405">
        <f>-15468303+482440</f>
        <v>-14985863</v>
      </c>
      <c r="BI32" s="90">
        <f>-51378366</f>
        <v>-51378366</v>
      </c>
      <c r="BJ32" s="90">
        <v>0</v>
      </c>
      <c r="BK32" s="89">
        <v>0</v>
      </c>
      <c r="BL32" s="89">
        <f>SUM(BG32:BK32)</f>
        <v>-79219312.36</v>
      </c>
      <c r="BM32" s="80"/>
      <c r="BN32" s="80"/>
      <c r="BO32" s="69" t="s">
        <v>439</v>
      </c>
      <c r="BP32" s="90">
        <v>-30030000</v>
      </c>
      <c r="BQ32" s="90">
        <f>BP32*$BR$2</f>
        <v>-62853887.2962</v>
      </c>
      <c r="BR32" s="172"/>
    </row>
    <row r="33" spans="1:69" ht="16.5" customHeight="1">
      <c r="A33" s="81"/>
      <c r="C33" s="87">
        <f>C30+C32</f>
        <v>-810877126.58</v>
      </c>
      <c r="D33" s="88">
        <f aca="true" t="shared" si="23" ref="D33:I33">D30+D32</f>
        <v>-514337210.44399995</v>
      </c>
      <c r="E33" s="88">
        <f t="shared" si="23"/>
        <v>-86338153.53999999</v>
      </c>
      <c r="F33" s="88">
        <f t="shared" si="23"/>
        <v>-1411552490.564</v>
      </c>
      <c r="G33" s="88">
        <v>236731373.83000004</v>
      </c>
      <c r="H33" s="88">
        <v>681744975.508</v>
      </c>
      <c r="I33" s="87">
        <f t="shared" si="23"/>
        <v>-966538888.886</v>
      </c>
      <c r="K33" s="72"/>
      <c r="L33" s="81"/>
      <c r="M33" s="87">
        <f aca="true" t="shared" si="24" ref="M33:AB33">M30+M32</f>
        <v>6800864.96</v>
      </c>
      <c r="N33" s="88">
        <f t="shared" si="24"/>
        <v>-27645277.28</v>
      </c>
      <c r="O33" s="88">
        <f t="shared" si="24"/>
        <v>-76663754</v>
      </c>
      <c r="P33" s="88">
        <f>P30+P32</f>
        <v>-17665733</v>
      </c>
      <c r="Q33" s="87">
        <f t="shared" si="24"/>
        <v>-5356781.4</v>
      </c>
      <c r="R33" s="88">
        <f t="shared" si="24"/>
        <v>-6448662</v>
      </c>
      <c r="S33" s="88">
        <f t="shared" si="24"/>
        <v>-208932618</v>
      </c>
      <c r="T33" s="88">
        <f t="shared" si="24"/>
        <v>-495317.52</v>
      </c>
      <c r="U33" s="88">
        <f>U30+U32</f>
        <v>-3866635</v>
      </c>
      <c r="V33" s="88">
        <f t="shared" si="24"/>
        <v>522533.12</v>
      </c>
      <c r="W33" s="88">
        <f t="shared" si="24"/>
        <v>-131280021</v>
      </c>
      <c r="X33" s="87">
        <f>X30+X32</f>
        <v>-6514958</v>
      </c>
      <c r="Y33" s="88">
        <f t="shared" si="24"/>
        <v>141312</v>
      </c>
      <c r="Z33" s="88">
        <f t="shared" si="24"/>
        <v>-34686846.864</v>
      </c>
      <c r="AA33" s="88">
        <f t="shared" si="24"/>
        <v>-2245316.46</v>
      </c>
      <c r="AB33" s="88">
        <f t="shared" si="24"/>
        <v>-514337210.44399995</v>
      </c>
      <c r="AC33" s="69"/>
      <c r="AD33" s="82"/>
      <c r="AE33" s="87">
        <f aca="true" t="shared" si="25" ref="AE33:AQ33">AE30+AE32</f>
        <v>-174017.15</v>
      </c>
      <c r="AF33" s="88">
        <f t="shared" si="25"/>
        <v>-13806</v>
      </c>
      <c r="AG33" s="88">
        <f t="shared" si="25"/>
        <v>-6781742</v>
      </c>
      <c r="AH33" s="88">
        <f t="shared" si="25"/>
        <v>-9014808.26</v>
      </c>
      <c r="AI33" s="88">
        <f>(AI30+AI32)</f>
        <v>-4800</v>
      </c>
      <c r="AJ33" s="88">
        <f>(AJ30+AJ32)</f>
        <v>-4800</v>
      </c>
      <c r="AK33" s="88">
        <f>(AK30+AK32)</f>
        <v>-10642.380000000001</v>
      </c>
      <c r="AL33" s="88">
        <f>(AL30+AL32)</f>
        <v>-10642.5</v>
      </c>
      <c r="AM33" s="88">
        <f>AM30+AM32</f>
        <v>-1634092.4</v>
      </c>
      <c r="AN33" s="88">
        <f t="shared" si="25"/>
        <v>-2048740.1739999999</v>
      </c>
      <c r="AO33" s="88">
        <f t="shared" si="25"/>
        <v>-986637</v>
      </c>
      <c r="AP33" s="88">
        <f t="shared" si="25"/>
        <v>-14002119</v>
      </c>
      <c r="AQ33" s="88">
        <f t="shared" si="25"/>
        <v>-34686846.864</v>
      </c>
      <c r="AR33" s="78"/>
      <c r="AS33" s="81"/>
      <c r="AT33" s="87">
        <f aca="true" t="shared" si="26" ref="AT33:BC33">AT30+AT32</f>
        <v>-19161</v>
      </c>
      <c r="AU33" s="87">
        <f t="shared" si="26"/>
        <v>0</v>
      </c>
      <c r="AV33" s="88">
        <f t="shared" si="26"/>
        <v>-1511462.7</v>
      </c>
      <c r="AW33" s="88">
        <f t="shared" si="26"/>
        <v>-10460.9</v>
      </c>
      <c r="AX33" s="88">
        <f t="shared" si="26"/>
        <v>-40400</v>
      </c>
      <c r="AY33" s="88">
        <f t="shared" si="26"/>
        <v>-595593</v>
      </c>
      <c r="AZ33" s="88">
        <f t="shared" si="26"/>
        <v>-7471.85</v>
      </c>
      <c r="BA33" s="88">
        <f t="shared" si="26"/>
        <v>-7871.85</v>
      </c>
      <c r="BB33" s="88">
        <f t="shared" si="26"/>
        <v>-52895.16</v>
      </c>
      <c r="BC33" s="88">
        <f t="shared" si="26"/>
        <v>-2245316.46</v>
      </c>
      <c r="BD33" s="78"/>
      <c r="BE33" s="127"/>
      <c r="BF33" s="81"/>
      <c r="BG33" s="87">
        <f aca="true" t="shared" si="27" ref="BG33:BL33">BG30+BG32</f>
        <v>-13199008.42</v>
      </c>
      <c r="BH33" s="88">
        <f t="shared" si="27"/>
        <v>-16158435</v>
      </c>
      <c r="BI33" s="87">
        <f t="shared" si="27"/>
        <v>-56980710.12</v>
      </c>
      <c r="BJ33" s="87">
        <f t="shared" si="27"/>
        <v>0</v>
      </c>
      <c r="BK33" s="88">
        <f t="shared" si="27"/>
        <v>0</v>
      </c>
      <c r="BL33" s="88">
        <f t="shared" si="27"/>
        <v>-86338153.53999999</v>
      </c>
      <c r="BM33" s="80"/>
      <c r="BN33" s="80"/>
      <c r="BO33" s="81"/>
      <c r="BP33" s="87">
        <f>BP30+BP32</f>
        <v>-33778000</v>
      </c>
      <c r="BQ33" s="87">
        <f>BQ30+BQ32</f>
        <v>-70698588.24812</v>
      </c>
    </row>
    <row r="34" spans="1:69" ht="16.5" customHeight="1">
      <c r="A34" s="81"/>
      <c r="C34" s="82"/>
      <c r="D34" s="82"/>
      <c r="E34" s="82"/>
      <c r="F34" s="82"/>
      <c r="G34" s="82"/>
      <c r="H34" s="82"/>
      <c r="I34" s="82"/>
      <c r="J34" s="78"/>
      <c r="K34" s="72"/>
      <c r="L34" s="81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72"/>
      <c r="AD34" s="81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72"/>
      <c r="AS34" s="81"/>
      <c r="AT34" s="82"/>
      <c r="AU34" s="83"/>
      <c r="AV34" s="83"/>
      <c r="AW34" s="83"/>
      <c r="AX34" s="83"/>
      <c r="AY34" s="83"/>
      <c r="AZ34" s="83"/>
      <c r="BA34" s="83"/>
      <c r="BB34" s="83"/>
      <c r="BC34" s="83"/>
      <c r="BD34" s="72"/>
      <c r="BE34" s="127"/>
      <c r="BF34" s="81"/>
      <c r="BG34" s="82"/>
      <c r="BH34" s="83"/>
      <c r="BI34" s="82"/>
      <c r="BJ34" s="88"/>
      <c r="BK34" s="83"/>
      <c r="BL34" s="83"/>
      <c r="BM34" s="84"/>
      <c r="BN34" s="84"/>
      <c r="BO34" s="81"/>
      <c r="BP34" s="82"/>
      <c r="BQ34" s="82"/>
    </row>
    <row r="35" spans="1:69" ht="16.5" customHeight="1">
      <c r="A35" s="69" t="s">
        <v>122</v>
      </c>
      <c r="C35" s="82">
        <v>0</v>
      </c>
      <c r="D35" s="88">
        <f>AB35</f>
        <v>0</v>
      </c>
      <c r="E35" s="88">
        <f>BL35</f>
        <v>0</v>
      </c>
      <c r="F35" s="88">
        <f>SUM(C35:E35)</f>
        <v>0</v>
      </c>
      <c r="G35" s="88">
        <v>0</v>
      </c>
      <c r="H35" s="88">
        <v>0</v>
      </c>
      <c r="I35" s="87">
        <f>F35+G35-H35</f>
        <v>0</v>
      </c>
      <c r="J35" s="72"/>
      <c r="K35" s="72"/>
      <c r="L35" s="69" t="s">
        <v>122</v>
      </c>
      <c r="M35" s="82">
        <v>0</v>
      </c>
      <c r="N35" s="88">
        <v>0</v>
      </c>
      <c r="O35" s="88">
        <v>0</v>
      </c>
      <c r="P35" s="88">
        <v>0</v>
      </c>
      <c r="Q35" s="82">
        <v>0</v>
      </c>
      <c r="R35" s="88">
        <v>0</v>
      </c>
      <c r="S35" s="88"/>
      <c r="T35" s="88"/>
      <c r="U35" s="88"/>
      <c r="V35" s="88">
        <v>0</v>
      </c>
      <c r="W35" s="88">
        <v>0</v>
      </c>
      <c r="X35" s="82"/>
      <c r="Y35" s="88">
        <v>0</v>
      </c>
      <c r="Z35" s="88">
        <f>AQ35</f>
        <v>0</v>
      </c>
      <c r="AA35" s="88">
        <f>BC35</f>
        <v>0</v>
      </c>
      <c r="AB35" s="88">
        <f>SUM(M35:AA35)</f>
        <v>0</v>
      </c>
      <c r="AC35" s="78"/>
      <c r="AD35" s="69" t="s">
        <v>122</v>
      </c>
      <c r="AE35" s="82"/>
      <c r="AF35" s="88"/>
      <c r="AG35" s="88"/>
      <c r="AH35" s="88"/>
      <c r="AI35" s="88"/>
      <c r="AJ35" s="88"/>
      <c r="AK35" s="88"/>
      <c r="AL35" s="88"/>
      <c r="AM35" s="88">
        <v>0</v>
      </c>
      <c r="AN35" s="88"/>
      <c r="AO35" s="88"/>
      <c r="AP35" s="88"/>
      <c r="AQ35" s="88">
        <f>SUM(AE35:AP35)</f>
        <v>0</v>
      </c>
      <c r="AR35" s="78"/>
      <c r="AS35" s="69" t="s">
        <v>122</v>
      </c>
      <c r="AT35" s="82"/>
      <c r="AU35" s="83"/>
      <c r="AV35" s="88"/>
      <c r="AW35" s="88"/>
      <c r="AX35" s="88"/>
      <c r="AY35" s="88"/>
      <c r="AZ35" s="88"/>
      <c r="BA35" s="88"/>
      <c r="BB35" s="88"/>
      <c r="BC35" s="88">
        <f>SUM(AT35:BB35)</f>
        <v>0</v>
      </c>
      <c r="BD35" s="78"/>
      <c r="BE35" s="127"/>
      <c r="BF35" s="69" t="s">
        <v>122</v>
      </c>
      <c r="BG35" s="82"/>
      <c r="BH35" s="88"/>
      <c r="BI35" s="82"/>
      <c r="BJ35" s="88"/>
      <c r="BK35" s="88"/>
      <c r="BL35" s="88">
        <f>SUM(BG35:BK35)</f>
        <v>0</v>
      </c>
      <c r="BM35" s="80"/>
      <c r="BN35" s="80"/>
      <c r="BO35" s="69" t="s">
        <v>122</v>
      </c>
      <c r="BP35" s="82"/>
      <c r="BQ35" s="82"/>
    </row>
    <row r="36" spans="1:69" s="49" customFormat="1" ht="16.5" customHeight="1">
      <c r="A36" s="75" t="s">
        <v>440</v>
      </c>
      <c r="C36" s="93">
        <f>C33-C35</f>
        <v>-810877126.58</v>
      </c>
      <c r="D36" s="94">
        <f>D33-D35</f>
        <v>-514337210.44399995</v>
      </c>
      <c r="E36" s="94">
        <f>E33-E35</f>
        <v>-86338153.53999999</v>
      </c>
      <c r="F36" s="94">
        <f>F33-F35</f>
        <v>-1411552490.564</v>
      </c>
      <c r="G36" s="94">
        <v>236731373.83000004</v>
      </c>
      <c r="H36" s="94">
        <v>681744975.508</v>
      </c>
      <c r="I36" s="93">
        <f>I33-I35</f>
        <v>-966538888.886</v>
      </c>
      <c r="J36" s="72"/>
      <c r="K36" s="72"/>
      <c r="L36" s="75" t="s">
        <v>440</v>
      </c>
      <c r="M36" s="93">
        <f aca="true" t="shared" si="28" ref="M36:AB36">M33-M35</f>
        <v>6800864.96</v>
      </c>
      <c r="N36" s="94">
        <f t="shared" si="28"/>
        <v>-27645277.28</v>
      </c>
      <c r="O36" s="94">
        <f t="shared" si="28"/>
        <v>-76663754</v>
      </c>
      <c r="P36" s="94">
        <f>P33-P35</f>
        <v>-17665733</v>
      </c>
      <c r="Q36" s="93">
        <f t="shared" si="28"/>
        <v>-5356781.4</v>
      </c>
      <c r="R36" s="94">
        <f t="shared" si="28"/>
        <v>-6448662</v>
      </c>
      <c r="S36" s="94">
        <f t="shared" si="28"/>
        <v>-208932618</v>
      </c>
      <c r="T36" s="94">
        <f t="shared" si="28"/>
        <v>-495317.52</v>
      </c>
      <c r="U36" s="94">
        <f>U33-U35</f>
        <v>-3866635</v>
      </c>
      <c r="V36" s="94">
        <f t="shared" si="28"/>
        <v>522533.12</v>
      </c>
      <c r="W36" s="94">
        <f t="shared" si="28"/>
        <v>-131280021</v>
      </c>
      <c r="X36" s="93">
        <f>X33-X35</f>
        <v>-6514958</v>
      </c>
      <c r="Y36" s="94">
        <f t="shared" si="28"/>
        <v>141312</v>
      </c>
      <c r="Z36" s="94">
        <f t="shared" si="28"/>
        <v>-34686846.864</v>
      </c>
      <c r="AA36" s="94">
        <f t="shared" si="28"/>
        <v>-2245316.46</v>
      </c>
      <c r="AB36" s="94">
        <f t="shared" si="28"/>
        <v>-514337210.44399995</v>
      </c>
      <c r="AC36" s="78"/>
      <c r="AD36" s="75" t="s">
        <v>440</v>
      </c>
      <c r="AE36" s="93">
        <f aca="true" t="shared" si="29" ref="AE36:AQ36">AE33-AE35</f>
        <v>-174017.15</v>
      </c>
      <c r="AF36" s="94">
        <f t="shared" si="29"/>
        <v>-13806</v>
      </c>
      <c r="AG36" s="94">
        <f t="shared" si="29"/>
        <v>-6781742</v>
      </c>
      <c r="AH36" s="94">
        <f t="shared" si="29"/>
        <v>-9014808.26</v>
      </c>
      <c r="AI36" s="94">
        <f t="shared" si="29"/>
        <v>-4800</v>
      </c>
      <c r="AJ36" s="94">
        <f t="shared" si="29"/>
        <v>-4800</v>
      </c>
      <c r="AK36" s="94">
        <f t="shared" si="29"/>
        <v>-10642.380000000001</v>
      </c>
      <c r="AL36" s="94">
        <f t="shared" si="29"/>
        <v>-10642.5</v>
      </c>
      <c r="AM36" s="94">
        <f>AM33-AM35</f>
        <v>-1634092.4</v>
      </c>
      <c r="AN36" s="94">
        <f t="shared" si="29"/>
        <v>-2048740.1739999999</v>
      </c>
      <c r="AO36" s="94">
        <f t="shared" si="29"/>
        <v>-986637</v>
      </c>
      <c r="AP36" s="94">
        <f t="shared" si="29"/>
        <v>-14002119</v>
      </c>
      <c r="AQ36" s="94">
        <f t="shared" si="29"/>
        <v>-34686846.864</v>
      </c>
      <c r="AR36" s="78"/>
      <c r="AS36" s="75" t="s">
        <v>440</v>
      </c>
      <c r="AT36" s="93">
        <f aca="true" t="shared" si="30" ref="AT36:BC36">AT33-AT35</f>
        <v>-19161</v>
      </c>
      <c r="AU36" s="93">
        <f t="shared" si="30"/>
        <v>0</v>
      </c>
      <c r="AV36" s="94">
        <f t="shared" si="30"/>
        <v>-1511462.7</v>
      </c>
      <c r="AW36" s="94">
        <f t="shared" si="30"/>
        <v>-10460.9</v>
      </c>
      <c r="AX36" s="94">
        <f t="shared" si="30"/>
        <v>-40400</v>
      </c>
      <c r="AY36" s="94">
        <f t="shared" si="30"/>
        <v>-595593</v>
      </c>
      <c r="AZ36" s="94">
        <f t="shared" si="30"/>
        <v>-7471.85</v>
      </c>
      <c r="BA36" s="94">
        <f t="shared" si="30"/>
        <v>-7871.85</v>
      </c>
      <c r="BB36" s="94">
        <f t="shared" si="30"/>
        <v>-52895.16</v>
      </c>
      <c r="BC36" s="94">
        <f t="shared" si="30"/>
        <v>-2245316.46</v>
      </c>
      <c r="BD36" s="78"/>
      <c r="BE36" s="127"/>
      <c r="BF36" s="75" t="s">
        <v>440</v>
      </c>
      <c r="BG36" s="93">
        <f aca="true" t="shared" si="31" ref="BG36:BL36">BG33-BG35</f>
        <v>-13199008.42</v>
      </c>
      <c r="BH36" s="94">
        <f t="shared" si="31"/>
        <v>-16158435</v>
      </c>
      <c r="BI36" s="93">
        <f t="shared" si="31"/>
        <v>-56980710.12</v>
      </c>
      <c r="BJ36" s="94">
        <f t="shared" si="31"/>
        <v>0</v>
      </c>
      <c r="BK36" s="94">
        <f t="shared" si="31"/>
        <v>0</v>
      </c>
      <c r="BL36" s="94">
        <f t="shared" si="31"/>
        <v>-86338153.53999999</v>
      </c>
      <c r="BM36" s="80"/>
      <c r="BN36" s="80"/>
      <c r="BO36" s="75" t="s">
        <v>440</v>
      </c>
      <c r="BP36" s="93">
        <f>BP33-BP35</f>
        <v>-33778000</v>
      </c>
      <c r="BQ36" s="93">
        <f>BQ33-BQ35</f>
        <v>-70698588.24812</v>
      </c>
    </row>
    <row r="37" spans="1:69" ht="16.5" customHeight="1">
      <c r="A37" s="69" t="s">
        <v>123</v>
      </c>
      <c r="C37" s="82"/>
      <c r="D37" s="88"/>
      <c r="E37" s="88"/>
      <c r="F37" s="83"/>
      <c r="G37" s="83"/>
      <c r="H37" s="83"/>
      <c r="I37" s="82"/>
      <c r="J37" s="72"/>
      <c r="K37" s="72"/>
      <c r="L37" s="69" t="s">
        <v>123</v>
      </c>
      <c r="M37" s="82"/>
      <c r="N37" s="88"/>
      <c r="O37" s="83"/>
      <c r="P37" s="83"/>
      <c r="Q37" s="82"/>
      <c r="R37" s="83"/>
      <c r="S37" s="83"/>
      <c r="T37" s="83"/>
      <c r="U37" s="83"/>
      <c r="V37" s="83"/>
      <c r="W37" s="83"/>
      <c r="X37" s="82"/>
      <c r="Y37" s="83"/>
      <c r="Z37" s="83"/>
      <c r="AA37" s="83"/>
      <c r="AB37" s="83"/>
      <c r="AC37" s="72"/>
      <c r="AD37" s="69" t="s">
        <v>123</v>
      </c>
      <c r="AE37" s="82"/>
      <c r="AF37" s="88"/>
      <c r="AG37" s="88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72"/>
      <c r="AS37" s="69" t="s">
        <v>123</v>
      </c>
      <c r="AT37" s="82"/>
      <c r="AU37" s="82"/>
      <c r="AV37" s="83"/>
      <c r="AW37" s="83"/>
      <c r="AX37" s="83"/>
      <c r="AY37" s="83"/>
      <c r="AZ37" s="83"/>
      <c r="BA37" s="83"/>
      <c r="BB37" s="83"/>
      <c r="BC37" s="83"/>
      <c r="BD37" s="72"/>
      <c r="BE37" s="127"/>
      <c r="BF37" s="69" t="s">
        <v>123</v>
      </c>
      <c r="BG37" s="82"/>
      <c r="BH37" s="83"/>
      <c r="BI37" s="82"/>
      <c r="BJ37" s="88"/>
      <c r="BK37" s="83"/>
      <c r="BL37" s="83"/>
      <c r="BM37" s="84"/>
      <c r="BN37" s="84"/>
      <c r="BO37" s="69" t="s">
        <v>123</v>
      </c>
      <c r="BP37" s="82"/>
      <c r="BQ37" s="82"/>
    </row>
    <row r="38" spans="1:69" ht="16.5" customHeight="1">
      <c r="A38" s="69" t="s">
        <v>124</v>
      </c>
      <c r="C38" s="82"/>
      <c r="D38" s="88">
        <f>AB38</f>
        <v>0</v>
      </c>
      <c r="E38" s="88">
        <f>BL38</f>
        <v>0</v>
      </c>
      <c r="F38" s="88">
        <f>SUM(C38:E38)</f>
        <v>0</v>
      </c>
      <c r="G38" s="83"/>
      <c r="H38" s="83"/>
      <c r="I38" s="87">
        <f>F38+G38-H38</f>
        <v>0</v>
      </c>
      <c r="J38" s="72"/>
      <c r="K38" s="72"/>
      <c r="L38" s="69" t="s">
        <v>124</v>
      </c>
      <c r="M38" s="82"/>
      <c r="N38" s="88"/>
      <c r="O38" s="88"/>
      <c r="P38" s="88"/>
      <c r="Q38" s="82"/>
      <c r="R38" s="88"/>
      <c r="S38" s="88"/>
      <c r="T38" s="88"/>
      <c r="U38" s="88"/>
      <c r="V38" s="88">
        <v>0</v>
      </c>
      <c r="W38" s="88"/>
      <c r="X38" s="82"/>
      <c r="Y38" s="88"/>
      <c r="Z38" s="88">
        <f>AQ38</f>
        <v>0</v>
      </c>
      <c r="AA38" s="88">
        <f>BC38</f>
        <v>0</v>
      </c>
      <c r="AB38" s="88">
        <f>SUM(M38:AA38)</f>
        <v>0</v>
      </c>
      <c r="AC38" s="78"/>
      <c r="AD38" s="69" t="s">
        <v>124</v>
      </c>
      <c r="AE38" s="82"/>
      <c r="AF38" s="88"/>
      <c r="AG38" s="88"/>
      <c r="AH38" s="88"/>
      <c r="AI38" s="83"/>
      <c r="AJ38" s="88"/>
      <c r="AK38" s="88"/>
      <c r="AL38" s="88"/>
      <c r="AM38" s="88"/>
      <c r="AN38" s="88"/>
      <c r="AO38" s="88"/>
      <c r="AP38" s="88"/>
      <c r="AQ38" s="88">
        <f>SUM(AE38:AP38)</f>
        <v>0</v>
      </c>
      <c r="AR38" s="78"/>
      <c r="AS38" s="69" t="s">
        <v>124</v>
      </c>
      <c r="AT38" s="82"/>
      <c r="AU38" s="82"/>
      <c r="AV38" s="88"/>
      <c r="AW38" s="88"/>
      <c r="AX38" s="88"/>
      <c r="AY38" s="88"/>
      <c r="AZ38" s="88"/>
      <c r="BA38" s="88"/>
      <c r="BB38" s="88"/>
      <c r="BC38" s="88">
        <f>SUM(AT38:BB38)</f>
        <v>0</v>
      </c>
      <c r="BD38" s="78"/>
      <c r="BE38" s="127"/>
      <c r="BF38" s="69" t="s">
        <v>124</v>
      </c>
      <c r="BG38" s="82"/>
      <c r="BH38" s="88"/>
      <c r="BI38" s="82"/>
      <c r="BJ38" s="88"/>
      <c r="BK38" s="88"/>
      <c r="BL38" s="88"/>
      <c r="BM38" s="80"/>
      <c r="BN38" s="80"/>
      <c r="BO38" s="69" t="s">
        <v>124</v>
      </c>
      <c r="BP38" s="82"/>
      <c r="BQ38" s="82"/>
    </row>
    <row r="39" spans="1:69" ht="16.5" customHeight="1">
      <c r="A39" s="69" t="s">
        <v>125</v>
      </c>
      <c r="C39" s="82"/>
      <c r="D39" s="88">
        <f>AB39</f>
        <v>0</v>
      </c>
      <c r="E39" s="88">
        <f>BL39</f>
        <v>0</v>
      </c>
      <c r="F39" s="88">
        <f>SUM(C39:E39)</f>
        <v>0</v>
      </c>
      <c r="G39" s="83"/>
      <c r="H39" s="83"/>
      <c r="I39" s="87">
        <f>F39+G39-H39</f>
        <v>0</v>
      </c>
      <c r="J39" s="72"/>
      <c r="K39" s="72"/>
      <c r="L39" s="69" t="s">
        <v>125</v>
      </c>
      <c r="M39" s="82"/>
      <c r="N39" s="88"/>
      <c r="O39" s="88"/>
      <c r="P39" s="88"/>
      <c r="Q39" s="82"/>
      <c r="R39" s="88"/>
      <c r="S39" s="88"/>
      <c r="T39" s="88"/>
      <c r="U39" s="88"/>
      <c r="V39" s="88"/>
      <c r="W39" s="88"/>
      <c r="X39" s="82"/>
      <c r="Y39" s="88"/>
      <c r="Z39" s="88">
        <f>AQ39</f>
        <v>0</v>
      </c>
      <c r="AA39" s="88">
        <f>BC39</f>
        <v>0</v>
      </c>
      <c r="AB39" s="88">
        <f>SUM(M39:AA39)</f>
        <v>0</v>
      </c>
      <c r="AC39" s="78"/>
      <c r="AD39" s="69" t="s">
        <v>125</v>
      </c>
      <c r="AE39" s="82"/>
      <c r="AF39" s="88"/>
      <c r="AG39" s="88"/>
      <c r="AH39" s="88"/>
      <c r="AI39" s="83"/>
      <c r="AJ39" s="88"/>
      <c r="AK39" s="88"/>
      <c r="AL39" s="88"/>
      <c r="AM39" s="88"/>
      <c r="AN39" s="88"/>
      <c r="AO39" s="88"/>
      <c r="AP39" s="88"/>
      <c r="AQ39" s="88">
        <f>SUM(AE39:AP39)</f>
        <v>0</v>
      </c>
      <c r="AR39" s="78"/>
      <c r="AS39" s="69" t="s">
        <v>125</v>
      </c>
      <c r="AT39" s="82"/>
      <c r="AU39" s="82"/>
      <c r="AV39" s="88"/>
      <c r="AW39" s="88"/>
      <c r="AX39" s="88"/>
      <c r="AY39" s="88"/>
      <c r="AZ39" s="88"/>
      <c r="BA39" s="88"/>
      <c r="BB39" s="88"/>
      <c r="BC39" s="88">
        <f>SUM(AT39:BB39)</f>
        <v>0</v>
      </c>
      <c r="BD39" s="78"/>
      <c r="BE39" s="127"/>
      <c r="BF39" s="69" t="s">
        <v>125</v>
      </c>
      <c r="BG39" s="82"/>
      <c r="BH39" s="88"/>
      <c r="BI39" s="82"/>
      <c r="BJ39" s="88"/>
      <c r="BK39" s="88"/>
      <c r="BL39" s="88"/>
      <c r="BM39" s="80"/>
      <c r="BN39" s="80"/>
      <c r="BO39" s="69" t="s">
        <v>125</v>
      </c>
      <c r="BP39" s="82"/>
      <c r="BQ39" s="82"/>
    </row>
    <row r="40" spans="1:69" ht="16.5" customHeight="1">
      <c r="A40" s="69" t="s">
        <v>126</v>
      </c>
      <c r="C40" s="82"/>
      <c r="D40" s="88">
        <f>AB40</f>
        <v>0</v>
      </c>
      <c r="E40" s="88">
        <f>BL40</f>
        <v>0</v>
      </c>
      <c r="F40" s="88">
        <f>SUM(C40:E40)</f>
        <v>0</v>
      </c>
      <c r="G40" s="88">
        <v>0</v>
      </c>
      <c r="H40" s="88">
        <v>0</v>
      </c>
      <c r="I40" s="87">
        <f>F40+G40-H40</f>
        <v>0</v>
      </c>
      <c r="J40" s="72"/>
      <c r="K40" s="72"/>
      <c r="L40" s="69" t="s">
        <v>126</v>
      </c>
      <c r="M40" s="82"/>
      <c r="N40" s="88"/>
      <c r="O40" s="88"/>
      <c r="P40" s="88"/>
      <c r="Q40" s="82"/>
      <c r="R40" s="88"/>
      <c r="S40" s="88"/>
      <c r="T40" s="88"/>
      <c r="U40" s="88"/>
      <c r="V40" s="88">
        <v>0</v>
      </c>
      <c r="W40" s="88"/>
      <c r="X40" s="82"/>
      <c r="Y40" s="88"/>
      <c r="Z40" s="88">
        <f>AQ40</f>
        <v>0</v>
      </c>
      <c r="AA40" s="88">
        <f>BC40</f>
        <v>0</v>
      </c>
      <c r="AB40" s="88">
        <f>SUM(M40:AA40)</f>
        <v>0</v>
      </c>
      <c r="AC40" s="78"/>
      <c r="AD40" s="69" t="s">
        <v>126</v>
      </c>
      <c r="AE40" s="82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>
        <f>SUM(AE40:AP40)</f>
        <v>0</v>
      </c>
      <c r="AR40" s="78"/>
      <c r="AS40" s="69" t="s">
        <v>126</v>
      </c>
      <c r="AT40" s="82"/>
      <c r="AU40" s="82"/>
      <c r="AV40" s="88"/>
      <c r="AW40" s="88"/>
      <c r="AX40" s="88"/>
      <c r="AY40" s="88"/>
      <c r="AZ40" s="88"/>
      <c r="BA40" s="88"/>
      <c r="BB40" s="88"/>
      <c r="BC40" s="88">
        <f>SUM(AT40:BB40)</f>
        <v>0</v>
      </c>
      <c r="BD40" s="78"/>
      <c r="BE40" s="127"/>
      <c r="BF40" s="69" t="s">
        <v>126</v>
      </c>
      <c r="BG40" s="82"/>
      <c r="BH40" s="88"/>
      <c r="BI40" s="82"/>
      <c r="BJ40" s="88"/>
      <c r="BK40" s="88"/>
      <c r="BL40" s="88">
        <f>SUM(BG40:BK40)</f>
        <v>0</v>
      </c>
      <c r="BM40" s="80"/>
      <c r="BN40" s="80"/>
      <c r="BO40" s="69" t="s">
        <v>126</v>
      </c>
      <c r="BP40" s="82"/>
      <c r="BQ40" s="82"/>
    </row>
    <row r="41" spans="1:69" s="95" customFormat="1" ht="16.5" customHeight="1">
      <c r="A41" s="69" t="s">
        <v>127</v>
      </c>
      <c r="C41" s="93">
        <f>SUM(C37:C40)</f>
        <v>0</v>
      </c>
      <c r="D41" s="94">
        <f>SUM(D37:D40)</f>
        <v>0</v>
      </c>
      <c r="E41" s="94">
        <f>SUM(E37:E40)</f>
        <v>0</v>
      </c>
      <c r="F41" s="94">
        <f>SUM(F37:F40)</f>
        <v>0</v>
      </c>
      <c r="G41" s="94">
        <v>0</v>
      </c>
      <c r="H41" s="94">
        <v>0</v>
      </c>
      <c r="I41" s="93">
        <f>SUM(I38:I40)</f>
        <v>0</v>
      </c>
      <c r="J41" s="80"/>
      <c r="K41" s="84"/>
      <c r="L41" s="69" t="s">
        <v>127</v>
      </c>
      <c r="M41" s="93">
        <f aca="true" t="shared" si="32" ref="M41:AB41">SUM(M37:M40)</f>
        <v>0</v>
      </c>
      <c r="N41" s="94">
        <f t="shared" si="32"/>
        <v>0</v>
      </c>
      <c r="O41" s="94">
        <f t="shared" si="32"/>
        <v>0</v>
      </c>
      <c r="P41" s="94">
        <f>SUM(P37:P40)</f>
        <v>0</v>
      </c>
      <c r="Q41" s="93">
        <f>SUM(Q37:Q40)</f>
        <v>0</v>
      </c>
      <c r="R41" s="94">
        <f t="shared" si="32"/>
        <v>0</v>
      </c>
      <c r="S41" s="94"/>
      <c r="T41" s="94">
        <f t="shared" si="32"/>
        <v>0</v>
      </c>
      <c r="U41" s="94">
        <f>SUM(U37:U40)</f>
        <v>0</v>
      </c>
      <c r="V41" s="94">
        <f t="shared" si="32"/>
        <v>0</v>
      </c>
      <c r="W41" s="94">
        <f t="shared" si="32"/>
        <v>0</v>
      </c>
      <c r="X41" s="93"/>
      <c r="Y41" s="94">
        <f t="shared" si="32"/>
        <v>0</v>
      </c>
      <c r="Z41" s="94">
        <f t="shared" si="32"/>
        <v>0</v>
      </c>
      <c r="AA41" s="94">
        <f t="shared" si="32"/>
        <v>0</v>
      </c>
      <c r="AB41" s="94">
        <f t="shared" si="32"/>
        <v>0</v>
      </c>
      <c r="AC41" s="80"/>
      <c r="AD41" s="69" t="s">
        <v>127</v>
      </c>
      <c r="AE41" s="93">
        <f aca="true" t="shared" si="33" ref="AE41:AQ41">SUM(AE37:AE40)</f>
        <v>0</v>
      </c>
      <c r="AF41" s="94">
        <f t="shared" si="33"/>
        <v>0</v>
      </c>
      <c r="AG41" s="94">
        <f t="shared" si="33"/>
        <v>0</v>
      </c>
      <c r="AH41" s="94">
        <f t="shared" si="33"/>
        <v>0</v>
      </c>
      <c r="AI41" s="94">
        <f t="shared" si="33"/>
        <v>0</v>
      </c>
      <c r="AJ41" s="94">
        <f t="shared" si="33"/>
        <v>0</v>
      </c>
      <c r="AK41" s="94">
        <f t="shared" si="33"/>
        <v>0</v>
      </c>
      <c r="AL41" s="94">
        <f t="shared" si="33"/>
        <v>0</v>
      </c>
      <c r="AM41" s="94">
        <f>SUM(AM37:AM40)</f>
        <v>0</v>
      </c>
      <c r="AN41" s="94">
        <f t="shared" si="33"/>
        <v>0</v>
      </c>
      <c r="AO41" s="94">
        <f t="shared" si="33"/>
        <v>0</v>
      </c>
      <c r="AP41" s="94">
        <f t="shared" si="33"/>
        <v>0</v>
      </c>
      <c r="AQ41" s="94">
        <f t="shared" si="33"/>
        <v>0</v>
      </c>
      <c r="AR41" s="80"/>
      <c r="AS41" s="69" t="s">
        <v>127</v>
      </c>
      <c r="AT41" s="93">
        <f aca="true" t="shared" si="34" ref="AT41:BC41">SUM(AT37:AT40)</f>
        <v>0</v>
      </c>
      <c r="AU41" s="93">
        <f t="shared" si="34"/>
        <v>0</v>
      </c>
      <c r="AV41" s="94">
        <f t="shared" si="34"/>
        <v>0</v>
      </c>
      <c r="AW41" s="94">
        <f t="shared" si="34"/>
        <v>0</v>
      </c>
      <c r="AX41" s="94">
        <f t="shared" si="34"/>
        <v>0</v>
      </c>
      <c r="AY41" s="94">
        <f t="shared" si="34"/>
        <v>0</v>
      </c>
      <c r="AZ41" s="94">
        <f t="shared" si="34"/>
        <v>0</v>
      </c>
      <c r="BA41" s="94">
        <f t="shared" si="34"/>
        <v>0</v>
      </c>
      <c r="BB41" s="94">
        <f t="shared" si="34"/>
        <v>0</v>
      </c>
      <c r="BC41" s="94">
        <f t="shared" si="34"/>
        <v>0</v>
      </c>
      <c r="BD41" s="80"/>
      <c r="BE41" s="128"/>
      <c r="BF41" s="69" t="s">
        <v>127</v>
      </c>
      <c r="BG41" s="93">
        <f aca="true" t="shared" si="35" ref="BG41:BL41">SUM(BG37:BG40)</f>
        <v>0</v>
      </c>
      <c r="BH41" s="94">
        <f t="shared" si="35"/>
        <v>0</v>
      </c>
      <c r="BI41" s="93">
        <f t="shared" si="35"/>
        <v>0</v>
      </c>
      <c r="BJ41" s="94">
        <f t="shared" si="35"/>
        <v>0</v>
      </c>
      <c r="BK41" s="94">
        <f t="shared" si="35"/>
        <v>0</v>
      </c>
      <c r="BL41" s="94">
        <f t="shared" si="35"/>
        <v>0</v>
      </c>
      <c r="BM41" s="80"/>
      <c r="BN41" s="80"/>
      <c r="BO41" s="69" t="s">
        <v>127</v>
      </c>
      <c r="BP41" s="93">
        <f>SUM(BP37:BP40)</f>
        <v>0</v>
      </c>
      <c r="BQ41" s="93">
        <f>SUM(BQ37:BQ40)</f>
        <v>0</v>
      </c>
    </row>
    <row r="42" spans="1:69" ht="16.5" customHeight="1">
      <c r="A42" s="69"/>
      <c r="C42" s="82"/>
      <c r="D42" s="88"/>
      <c r="E42" s="88"/>
      <c r="F42" s="83"/>
      <c r="G42" s="83"/>
      <c r="H42" s="83"/>
      <c r="I42" s="82"/>
      <c r="J42" s="72"/>
      <c r="K42" s="72"/>
      <c r="L42" s="69"/>
      <c r="M42" s="82"/>
      <c r="N42" s="88"/>
      <c r="O42" s="83"/>
      <c r="P42" s="83"/>
      <c r="Q42" s="82"/>
      <c r="R42" s="83"/>
      <c r="S42" s="83"/>
      <c r="T42" s="83"/>
      <c r="U42" s="83"/>
      <c r="V42" s="83"/>
      <c r="W42" s="83"/>
      <c r="X42" s="82"/>
      <c r="Y42" s="83"/>
      <c r="Z42" s="83"/>
      <c r="AA42" s="83"/>
      <c r="AB42" s="83"/>
      <c r="AC42" s="72"/>
      <c r="AD42" s="69"/>
      <c r="AE42" s="82"/>
      <c r="AF42" s="88"/>
      <c r="AG42" s="88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72"/>
      <c r="AS42" s="69"/>
      <c r="AT42" s="82"/>
      <c r="AU42" s="82"/>
      <c r="AV42" s="83"/>
      <c r="AW42" s="83"/>
      <c r="AX42" s="83"/>
      <c r="AY42" s="83"/>
      <c r="AZ42" s="83"/>
      <c r="BA42" s="83"/>
      <c r="BB42" s="83"/>
      <c r="BC42" s="83"/>
      <c r="BD42" s="72"/>
      <c r="BE42" s="127"/>
      <c r="BF42" s="69"/>
      <c r="BG42" s="82"/>
      <c r="BH42" s="83"/>
      <c r="BI42" s="82"/>
      <c r="BJ42" s="88"/>
      <c r="BK42" s="83"/>
      <c r="BL42" s="83"/>
      <c r="BM42" s="84"/>
      <c r="BN42" s="84"/>
      <c r="BO42" s="69"/>
      <c r="BP42" s="82"/>
      <c r="BQ42" s="82"/>
    </row>
    <row r="43" spans="1:69" ht="16.5" customHeight="1">
      <c r="A43" s="75" t="s">
        <v>441</v>
      </c>
      <c r="C43" s="87">
        <f>C36-C41</f>
        <v>-810877126.58</v>
      </c>
      <c r="D43" s="88">
        <f>D36-D41</f>
        <v>-514337210.44399995</v>
      </c>
      <c r="E43" s="88">
        <f>E36-E41</f>
        <v>-86338153.53999999</v>
      </c>
      <c r="F43" s="88">
        <f>F36-F41</f>
        <v>-1411552490.564</v>
      </c>
      <c r="G43" s="88">
        <v>236731373.83000004</v>
      </c>
      <c r="H43" s="88">
        <v>681744975.508</v>
      </c>
      <c r="I43" s="87">
        <f>I36-I41</f>
        <v>-966538888.886</v>
      </c>
      <c r="J43" s="78"/>
      <c r="K43" s="72"/>
      <c r="L43" s="75" t="s">
        <v>441</v>
      </c>
      <c r="M43" s="87">
        <f aca="true" t="shared" si="36" ref="M43:AB43">M36-M41</f>
        <v>6800864.96</v>
      </c>
      <c r="N43" s="88">
        <f t="shared" si="36"/>
        <v>-27645277.28</v>
      </c>
      <c r="O43" s="88">
        <f t="shared" si="36"/>
        <v>-76663754</v>
      </c>
      <c r="P43" s="88">
        <f>P36-P41</f>
        <v>-17665733</v>
      </c>
      <c r="Q43" s="87">
        <f>+Q36-Q41</f>
        <v>-5356781.4</v>
      </c>
      <c r="R43" s="88">
        <f t="shared" si="36"/>
        <v>-6448662</v>
      </c>
      <c r="S43" s="88">
        <f t="shared" si="36"/>
        <v>-208932618</v>
      </c>
      <c r="T43" s="88">
        <f t="shared" si="36"/>
        <v>-495317.52</v>
      </c>
      <c r="U43" s="88">
        <f>U36-U41</f>
        <v>-3866635</v>
      </c>
      <c r="V43" s="88">
        <f t="shared" si="36"/>
        <v>522533.12</v>
      </c>
      <c r="W43" s="88">
        <f>W36-W41</f>
        <v>-131280021</v>
      </c>
      <c r="X43" s="87">
        <f>+X36-X41</f>
        <v>-6514958</v>
      </c>
      <c r="Y43" s="88">
        <f t="shared" si="36"/>
        <v>141312</v>
      </c>
      <c r="Z43" s="88">
        <f t="shared" si="36"/>
        <v>-34686846.864</v>
      </c>
      <c r="AA43" s="88">
        <f t="shared" si="36"/>
        <v>-2245316.46</v>
      </c>
      <c r="AB43" s="88">
        <f t="shared" si="36"/>
        <v>-514337210.44399995</v>
      </c>
      <c r="AC43" s="78"/>
      <c r="AD43" s="75" t="s">
        <v>441</v>
      </c>
      <c r="AE43" s="87">
        <f aca="true" t="shared" si="37" ref="AE43:AQ43">AE36-AE41</f>
        <v>-174017.15</v>
      </c>
      <c r="AF43" s="88">
        <f t="shared" si="37"/>
        <v>-13806</v>
      </c>
      <c r="AG43" s="88">
        <f t="shared" si="37"/>
        <v>-6781742</v>
      </c>
      <c r="AH43" s="88">
        <f t="shared" si="37"/>
        <v>-9014808.26</v>
      </c>
      <c r="AI43" s="88">
        <f t="shared" si="37"/>
        <v>-4800</v>
      </c>
      <c r="AJ43" s="88">
        <f t="shared" si="37"/>
        <v>-4800</v>
      </c>
      <c r="AK43" s="88">
        <f t="shared" si="37"/>
        <v>-10642.380000000001</v>
      </c>
      <c r="AL43" s="88">
        <f t="shared" si="37"/>
        <v>-10642.5</v>
      </c>
      <c r="AM43" s="88">
        <f>AM36-AM41</f>
        <v>-1634092.4</v>
      </c>
      <c r="AN43" s="88">
        <f>AN36-AN41</f>
        <v>-2048740.1739999999</v>
      </c>
      <c r="AO43" s="88">
        <f>AO36-AO41</f>
        <v>-986637</v>
      </c>
      <c r="AP43" s="88">
        <f t="shared" si="37"/>
        <v>-14002119</v>
      </c>
      <c r="AQ43" s="88">
        <f t="shared" si="37"/>
        <v>-34686846.864</v>
      </c>
      <c r="AR43" s="78"/>
      <c r="AS43" s="75" t="s">
        <v>441</v>
      </c>
      <c r="AT43" s="87">
        <f aca="true" t="shared" si="38" ref="AT43:BC43">AT36-AT41</f>
        <v>-19161</v>
      </c>
      <c r="AU43" s="87">
        <f>AU36-AU41</f>
        <v>0</v>
      </c>
      <c r="AV43" s="88">
        <f t="shared" si="38"/>
        <v>-1511462.7</v>
      </c>
      <c r="AW43" s="88">
        <f t="shared" si="38"/>
        <v>-10460.9</v>
      </c>
      <c r="AX43" s="88">
        <f t="shared" si="38"/>
        <v>-40400</v>
      </c>
      <c r="AY43" s="88">
        <f t="shared" si="38"/>
        <v>-595593</v>
      </c>
      <c r="AZ43" s="88">
        <f t="shared" si="38"/>
        <v>-7471.85</v>
      </c>
      <c r="BA43" s="88">
        <f t="shared" si="38"/>
        <v>-7871.85</v>
      </c>
      <c r="BB43" s="88">
        <f t="shared" si="38"/>
        <v>-52895.16</v>
      </c>
      <c r="BC43" s="88">
        <f t="shared" si="38"/>
        <v>-2245316.46</v>
      </c>
      <c r="BD43" s="78"/>
      <c r="BE43" s="127"/>
      <c r="BF43" s="75" t="s">
        <v>441</v>
      </c>
      <c r="BG43" s="88">
        <f aca="true" t="shared" si="39" ref="BG43:BL43">BG36-BG41</f>
        <v>-13199008.42</v>
      </c>
      <c r="BH43" s="88">
        <f>BH36-BH41</f>
        <v>-16158435</v>
      </c>
      <c r="BI43" s="88">
        <f t="shared" si="39"/>
        <v>-56980710.12</v>
      </c>
      <c r="BJ43" s="88">
        <f t="shared" si="39"/>
        <v>0</v>
      </c>
      <c r="BK43" s="88">
        <f t="shared" si="39"/>
        <v>0</v>
      </c>
      <c r="BL43" s="88">
        <f t="shared" si="39"/>
        <v>-86338153.53999999</v>
      </c>
      <c r="BM43" s="80"/>
      <c r="BN43" s="80"/>
      <c r="BO43" s="75" t="s">
        <v>441</v>
      </c>
      <c r="BP43" s="87">
        <f>BP36-BP41</f>
        <v>-33778000</v>
      </c>
      <c r="BQ43" s="87">
        <f>BQ36-BQ41</f>
        <v>-70698588.24812</v>
      </c>
    </row>
    <row r="44" spans="1:69" ht="16.5" customHeight="1" thickBot="1">
      <c r="A44" s="69"/>
      <c r="C44" s="96"/>
      <c r="D44" s="97"/>
      <c r="E44" s="97"/>
      <c r="F44" s="97"/>
      <c r="G44" s="97"/>
      <c r="H44" s="97"/>
      <c r="I44" s="96"/>
      <c r="J44" s="78"/>
      <c r="K44" s="78"/>
      <c r="L44" s="69"/>
      <c r="M44" s="96"/>
      <c r="N44" s="97"/>
      <c r="O44" s="97"/>
      <c r="P44" s="97"/>
      <c r="Q44" s="96"/>
      <c r="R44" s="97"/>
      <c r="S44" s="97"/>
      <c r="T44" s="97"/>
      <c r="U44" s="97"/>
      <c r="V44" s="97"/>
      <c r="W44" s="97"/>
      <c r="X44" s="96"/>
      <c r="Y44" s="97"/>
      <c r="Z44" s="97"/>
      <c r="AA44" s="97"/>
      <c r="AB44" s="97"/>
      <c r="AC44" s="73"/>
      <c r="AD44" s="69"/>
      <c r="AE44" s="96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73"/>
      <c r="AS44" s="69"/>
      <c r="AT44" s="96"/>
      <c r="AU44" s="97"/>
      <c r="AV44" s="97"/>
      <c r="AW44" s="97"/>
      <c r="AX44" s="97"/>
      <c r="AY44" s="97"/>
      <c r="AZ44" s="97"/>
      <c r="BA44" s="97"/>
      <c r="BB44" s="97"/>
      <c r="BC44" s="97"/>
      <c r="BD44" s="73"/>
      <c r="BE44" s="209"/>
      <c r="BF44" s="87"/>
      <c r="BG44" s="96"/>
      <c r="BH44" s="97"/>
      <c r="BI44" s="96"/>
      <c r="BJ44" s="97"/>
      <c r="BK44" s="97"/>
      <c r="BL44" s="97"/>
      <c r="BM44" s="74"/>
      <c r="BN44" s="74"/>
      <c r="BO44" s="69"/>
      <c r="BP44" s="96"/>
      <c r="BQ44" s="96"/>
    </row>
    <row r="45" spans="1:69" ht="16.5" customHeight="1" thickTop="1">
      <c r="A45" s="69" t="s">
        <v>442</v>
      </c>
      <c r="C45" s="70"/>
      <c r="D45" s="71"/>
      <c r="E45" s="71"/>
      <c r="F45" s="71"/>
      <c r="G45" s="71"/>
      <c r="H45" s="71"/>
      <c r="I45" s="70"/>
      <c r="J45" s="78"/>
      <c r="K45" s="78"/>
      <c r="L45" s="69" t="s">
        <v>442</v>
      </c>
      <c r="M45" s="70"/>
      <c r="N45" s="71"/>
      <c r="O45" s="71"/>
      <c r="P45" s="71"/>
      <c r="Q45" s="70"/>
      <c r="R45" s="71"/>
      <c r="S45" s="71"/>
      <c r="T45" s="71"/>
      <c r="U45" s="71"/>
      <c r="V45" s="71"/>
      <c r="W45" s="71"/>
      <c r="X45" s="70"/>
      <c r="Y45" s="71"/>
      <c r="Z45" s="71"/>
      <c r="AA45" s="71"/>
      <c r="AB45" s="71"/>
      <c r="AC45" s="73"/>
      <c r="AD45" s="69" t="s">
        <v>442</v>
      </c>
      <c r="AE45" s="70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AS45" s="87" t="s">
        <v>442</v>
      </c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3"/>
      <c r="BE45" s="209"/>
      <c r="BF45" s="87" t="s">
        <v>442</v>
      </c>
      <c r="BG45" s="70"/>
      <c r="BH45" s="71"/>
      <c r="BI45" s="70"/>
      <c r="BJ45" s="71"/>
      <c r="BK45" s="71"/>
      <c r="BL45" s="71"/>
      <c r="BM45" s="74"/>
      <c r="BN45" s="74"/>
      <c r="BO45" s="69" t="s">
        <v>442</v>
      </c>
      <c r="BP45" s="70"/>
      <c r="BQ45" s="70"/>
    </row>
    <row r="46" spans="1:69" ht="16.5" customHeight="1">
      <c r="A46" s="69" t="s">
        <v>443</v>
      </c>
      <c r="C46" s="82"/>
      <c r="D46" s="88"/>
      <c r="E46" s="88"/>
      <c r="F46" s="83"/>
      <c r="G46" s="83"/>
      <c r="H46" s="83"/>
      <c r="I46" s="87">
        <f>C43</f>
        <v>-810877126.58</v>
      </c>
      <c r="J46" s="72"/>
      <c r="K46" s="72"/>
      <c r="L46" s="69" t="s">
        <v>443</v>
      </c>
      <c r="M46" s="82"/>
      <c r="N46" s="88"/>
      <c r="O46" s="88"/>
      <c r="P46" s="88"/>
      <c r="Q46" s="82">
        <f>+Q49-Q47-Q48</f>
        <v>-5356781.4</v>
      </c>
      <c r="R46" s="88"/>
      <c r="S46" s="88"/>
      <c r="T46" s="88"/>
      <c r="U46" s="88"/>
      <c r="V46" s="88"/>
      <c r="W46" s="88"/>
      <c r="X46" s="82">
        <f>+X49-X47-X48</f>
        <v>-6514958</v>
      </c>
      <c r="Y46" s="88"/>
      <c r="Z46" s="88"/>
      <c r="AA46" s="88"/>
      <c r="AB46" s="88"/>
      <c r="AC46" s="72"/>
      <c r="AD46" s="69" t="s">
        <v>443</v>
      </c>
      <c r="AE46" s="82"/>
      <c r="AF46" s="88"/>
      <c r="AG46" s="88"/>
      <c r="AH46" s="83"/>
      <c r="AI46" s="83"/>
      <c r="AJ46" s="88"/>
      <c r="AK46" s="88"/>
      <c r="AL46" s="88"/>
      <c r="AM46" s="83"/>
      <c r="AN46" s="88"/>
      <c r="AO46" s="88"/>
      <c r="AP46" s="88"/>
      <c r="AQ46" s="88"/>
      <c r="AR46" s="72"/>
      <c r="AS46" s="87" t="s">
        <v>443</v>
      </c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72"/>
      <c r="BE46" s="127"/>
      <c r="BF46" s="87" t="s">
        <v>443</v>
      </c>
      <c r="BG46" s="82"/>
      <c r="BH46" s="88">
        <f>BH49-BH48</f>
        <v>-16158435</v>
      </c>
      <c r="BI46" s="82"/>
      <c r="BJ46" s="88">
        <f>BJ49-BJ48</f>
        <v>0</v>
      </c>
      <c r="BK46" s="88"/>
      <c r="BL46" s="88"/>
      <c r="BM46" s="80"/>
      <c r="BN46" s="80"/>
      <c r="BO46" s="69" t="s">
        <v>443</v>
      </c>
      <c r="BP46" s="82"/>
      <c r="BQ46" s="82"/>
    </row>
    <row r="47" spans="1:69" ht="16.5" customHeight="1">
      <c r="A47" s="69" t="s">
        <v>444</v>
      </c>
      <c r="C47" s="82"/>
      <c r="D47" s="88"/>
      <c r="E47" s="88"/>
      <c r="F47" s="83"/>
      <c r="G47" s="83"/>
      <c r="H47" s="83"/>
      <c r="I47" s="87" t="e">
        <f>I43-I46-I48</f>
        <v>#REF!</v>
      </c>
      <c r="J47" s="72"/>
      <c r="K47" s="72"/>
      <c r="L47" s="69" t="s">
        <v>444</v>
      </c>
      <c r="M47" s="82"/>
      <c r="N47" s="88"/>
      <c r="O47" s="88"/>
      <c r="P47" s="88"/>
      <c r="Q47" s="82">
        <v>0</v>
      </c>
      <c r="R47" s="88"/>
      <c r="S47" s="88"/>
      <c r="T47" s="88"/>
      <c r="U47" s="88"/>
      <c r="V47" s="88"/>
      <c r="W47" s="88"/>
      <c r="X47" s="82">
        <v>0</v>
      </c>
      <c r="Y47" s="88"/>
      <c r="Z47" s="88"/>
      <c r="AA47" s="88"/>
      <c r="AB47" s="88"/>
      <c r="AC47" s="72"/>
      <c r="AD47" s="69" t="s">
        <v>444</v>
      </c>
      <c r="AE47" s="82"/>
      <c r="AF47" s="88"/>
      <c r="AG47" s="88"/>
      <c r="AH47" s="83"/>
      <c r="AI47" s="83"/>
      <c r="AJ47" s="88"/>
      <c r="AK47" s="88"/>
      <c r="AL47" s="88"/>
      <c r="AM47" s="83"/>
      <c r="AN47" s="88"/>
      <c r="AO47" s="88"/>
      <c r="AP47" s="88"/>
      <c r="AQ47" s="88"/>
      <c r="AR47" s="72"/>
      <c r="AS47" s="87" t="s">
        <v>444</v>
      </c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72"/>
      <c r="BE47" s="127"/>
      <c r="BF47" s="87" t="s">
        <v>444</v>
      </c>
      <c r="BG47" s="82"/>
      <c r="BH47" s="88">
        <v>0</v>
      </c>
      <c r="BI47" s="82"/>
      <c r="BJ47" s="88">
        <v>0</v>
      </c>
      <c r="BK47" s="88"/>
      <c r="BL47" s="88"/>
      <c r="BM47" s="80"/>
      <c r="BN47" s="80"/>
      <c r="BO47" s="69" t="s">
        <v>444</v>
      </c>
      <c r="BP47" s="82"/>
      <c r="BQ47" s="82"/>
    </row>
    <row r="48" spans="1:69" ht="16.5" customHeight="1">
      <c r="A48" s="69" t="s">
        <v>445</v>
      </c>
      <c r="C48" s="82"/>
      <c r="D48" s="88"/>
      <c r="E48" s="88"/>
      <c r="F48" s="83"/>
      <c r="G48" s="83"/>
      <c r="H48" s="83"/>
      <c r="I48" s="87" t="e">
        <f>-#REF!+#REF!-SUM(#REF!)+#REF!+SUM(#REF!)</f>
        <v>#REF!</v>
      </c>
      <c r="J48" s="72"/>
      <c r="K48" s="72"/>
      <c r="L48" s="69" t="s">
        <v>445</v>
      </c>
      <c r="M48" s="82"/>
      <c r="N48" s="88"/>
      <c r="O48" s="88"/>
      <c r="P48" s="88"/>
      <c r="Q48" s="82">
        <v>0</v>
      </c>
      <c r="R48" s="88"/>
      <c r="S48" s="88"/>
      <c r="T48" s="88"/>
      <c r="U48" s="88"/>
      <c r="V48" s="88"/>
      <c r="W48" s="88"/>
      <c r="X48" s="82">
        <v>0</v>
      </c>
      <c r="Y48" s="88"/>
      <c r="Z48" s="88"/>
      <c r="AA48" s="88"/>
      <c r="AB48" s="88"/>
      <c r="AC48" s="72"/>
      <c r="AD48" s="69" t="s">
        <v>445</v>
      </c>
      <c r="AE48" s="82"/>
      <c r="AF48" s="88"/>
      <c r="AG48" s="88"/>
      <c r="AH48" s="83"/>
      <c r="AI48" s="83"/>
      <c r="AJ48" s="88"/>
      <c r="AK48" s="88"/>
      <c r="AL48" s="88"/>
      <c r="AM48" s="83"/>
      <c r="AN48" s="88"/>
      <c r="AO48" s="88"/>
      <c r="AP48" s="88"/>
      <c r="AQ48" s="88"/>
      <c r="AR48" s="72"/>
      <c r="AS48" s="87" t="s">
        <v>445</v>
      </c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72"/>
      <c r="BE48" s="127"/>
      <c r="BF48" s="87" t="s">
        <v>445</v>
      </c>
      <c r="BG48" s="82"/>
      <c r="BH48" s="88">
        <v>0</v>
      </c>
      <c r="BI48" s="82"/>
      <c r="BJ48" s="88">
        <v>0</v>
      </c>
      <c r="BK48" s="88"/>
      <c r="BL48" s="88"/>
      <c r="BM48" s="80"/>
      <c r="BN48" s="80"/>
      <c r="BO48" s="69" t="s">
        <v>445</v>
      </c>
      <c r="BP48" s="82"/>
      <c r="BQ48" s="82"/>
    </row>
    <row r="49" spans="1:69" s="49" customFormat="1" ht="16.5" customHeight="1" thickBot="1">
      <c r="A49" s="98"/>
      <c r="B49" s="225"/>
      <c r="C49" s="99">
        <f>C46+C47</f>
        <v>0</v>
      </c>
      <c r="D49" s="100">
        <f>AB49</f>
        <v>0</v>
      </c>
      <c r="E49" s="100">
        <f>BL49</f>
        <v>0</v>
      </c>
      <c r="F49" s="100">
        <f>SUM(F46:F48)</f>
        <v>0</v>
      </c>
      <c r="G49" s="100">
        <v>0</v>
      </c>
      <c r="H49" s="100">
        <v>0</v>
      </c>
      <c r="I49" s="99">
        <f>I43</f>
        <v>-966538888.886</v>
      </c>
      <c r="J49" s="72"/>
      <c r="K49" s="72"/>
      <c r="L49" s="98"/>
      <c r="M49" s="99"/>
      <c r="N49" s="100"/>
      <c r="O49" s="100"/>
      <c r="P49" s="100"/>
      <c r="Q49" s="99">
        <f>+Q43</f>
        <v>-5356781.4</v>
      </c>
      <c r="R49" s="100"/>
      <c r="S49" s="100"/>
      <c r="T49" s="100"/>
      <c r="U49" s="100"/>
      <c r="V49" s="100"/>
      <c r="W49" s="100"/>
      <c r="X49" s="99">
        <f>+X43</f>
        <v>-6514958</v>
      </c>
      <c r="Y49" s="100"/>
      <c r="Z49" s="100"/>
      <c r="AA49" s="100"/>
      <c r="AB49" s="100"/>
      <c r="AC49" s="72"/>
      <c r="AD49" s="98"/>
      <c r="AE49" s="99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72"/>
      <c r="AS49" s="79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72"/>
      <c r="BE49" s="127"/>
      <c r="BF49" s="79"/>
      <c r="BG49" s="99"/>
      <c r="BH49" s="100">
        <f>BH43</f>
        <v>-16158435</v>
      </c>
      <c r="BI49" s="99"/>
      <c r="BJ49" s="100">
        <f>BJ43</f>
        <v>0</v>
      </c>
      <c r="BK49" s="100">
        <f>SUM(BK46:BK48)</f>
        <v>0</v>
      </c>
      <c r="BL49" s="100">
        <f>SUM(BL46:BL48)</f>
        <v>0</v>
      </c>
      <c r="BM49" s="80"/>
      <c r="BN49" s="80"/>
      <c r="BO49" s="98"/>
      <c r="BP49" s="99"/>
      <c r="BQ49" s="99"/>
    </row>
    <row r="50" spans="1:69" ht="13.5" thickTop="1">
      <c r="A50" s="84"/>
      <c r="C50" s="74"/>
      <c r="D50" s="74"/>
      <c r="E50" s="74"/>
      <c r="F50" s="74"/>
      <c r="G50" s="74"/>
      <c r="H50" s="74"/>
      <c r="I50" s="74"/>
      <c r="J50" s="72"/>
      <c r="K50" s="72"/>
      <c r="L50" s="72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2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2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127"/>
      <c r="BF50" s="72"/>
      <c r="BG50" s="73"/>
      <c r="BH50" s="73"/>
      <c r="BI50" s="73"/>
      <c r="BJ50" s="73"/>
      <c r="BK50" s="73"/>
      <c r="BL50" s="73"/>
      <c r="BM50" s="73"/>
      <c r="BN50" s="78"/>
      <c r="BO50" s="72"/>
      <c r="BP50" s="73"/>
      <c r="BQ50" s="73"/>
    </row>
    <row r="51" spans="1:69" ht="12.75">
      <c r="A51" s="84"/>
      <c r="C51" s="417" t="s">
        <v>171</v>
      </c>
      <c r="D51" s="74"/>
      <c r="E51" s="417" t="s">
        <v>172</v>
      </c>
      <c r="F51" s="74"/>
      <c r="G51" s="74" t="s">
        <v>173</v>
      </c>
      <c r="H51" s="74"/>
      <c r="J51" s="72"/>
      <c r="K51" s="72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2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2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127"/>
      <c r="BF51" s="72" t="s">
        <v>446</v>
      </c>
      <c r="BG51" s="72"/>
      <c r="BH51" s="72"/>
      <c r="BI51" s="72"/>
      <c r="BJ51" s="101">
        <v>2.1625</v>
      </c>
      <c r="BK51" s="72"/>
      <c r="BL51" s="80"/>
      <c r="BM51" s="73"/>
      <c r="BN51" s="78"/>
      <c r="BO51" s="72"/>
      <c r="BP51" s="73"/>
      <c r="BQ51" s="73"/>
    </row>
    <row r="52" spans="1:69" ht="12.75">
      <c r="A52" s="84"/>
      <c r="B52" s="381" t="s">
        <v>71</v>
      </c>
      <c r="C52" s="382" t="s">
        <v>275</v>
      </c>
      <c r="D52" s="382" t="s">
        <v>72</v>
      </c>
      <c r="E52" s="418" t="s">
        <v>275</v>
      </c>
      <c r="F52" s="418" t="s">
        <v>72</v>
      </c>
      <c r="G52" s="382" t="s">
        <v>275</v>
      </c>
      <c r="H52" s="382" t="s">
        <v>72</v>
      </c>
      <c r="J52" s="72"/>
      <c r="K52" s="72"/>
      <c r="L52" s="72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2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2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127"/>
      <c r="BF52" s="78" t="s">
        <v>447</v>
      </c>
      <c r="BG52" s="78">
        <f>IF(BG24&lt;0,0,ROUND(BG24*BG53/100,0))</f>
        <v>0</v>
      </c>
      <c r="BH52" s="78">
        <f>ROUND(BH24*BH53/100,0)</f>
        <v>-527657</v>
      </c>
      <c r="BI52" s="78">
        <f>IF(BI24&lt;0,0,ROUND(BI24*BI53/100,0))</f>
        <v>0</v>
      </c>
      <c r="BJ52" s="78">
        <f>ROUND(BJ24*BJ53/100,0)</f>
        <v>0</v>
      </c>
      <c r="BK52" s="78"/>
      <c r="BL52" s="80">
        <f>SUM(BG52:BJ52)</f>
        <v>-527657</v>
      </c>
      <c r="BM52" s="73"/>
      <c r="BN52" s="78"/>
      <c r="BO52" s="72"/>
      <c r="BP52" s="73"/>
      <c r="BQ52" s="73"/>
    </row>
    <row r="53" spans="1:69" ht="12.75">
      <c r="A53" s="84"/>
      <c r="B53" t="s">
        <v>209</v>
      </c>
      <c r="C53" s="379">
        <f>Q8+S8</f>
        <v>0</v>
      </c>
      <c r="D53" s="379">
        <f>Q21+S21+X21+U21+BI21</f>
        <v>-17408307.12</v>
      </c>
      <c r="E53" s="80">
        <v>0</v>
      </c>
      <c r="F53" s="80">
        <v>-12639124.64</v>
      </c>
      <c r="G53" s="379">
        <v>0</v>
      </c>
      <c r="H53" s="379">
        <v>-4769182.48</v>
      </c>
      <c r="I53" s="74"/>
      <c r="J53" s="72"/>
      <c r="K53" s="72"/>
      <c r="L53" s="72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2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127"/>
      <c r="BF53" s="50" t="s">
        <v>448</v>
      </c>
      <c r="BG53" s="102">
        <v>49</v>
      </c>
      <c r="BH53" s="102">
        <v>45</v>
      </c>
      <c r="BI53" s="102">
        <v>25</v>
      </c>
      <c r="BJ53" s="102">
        <v>40.57</v>
      </c>
      <c r="BK53" s="102">
        <v>0</v>
      </c>
      <c r="BL53" s="80"/>
      <c r="BM53" s="73"/>
      <c r="BN53" s="78"/>
      <c r="BO53" s="72"/>
      <c r="BP53" s="73"/>
      <c r="BQ53" s="73"/>
    </row>
    <row r="54" spans="1:69" ht="12.75">
      <c r="A54" s="84"/>
      <c r="B54" t="s">
        <v>214</v>
      </c>
      <c r="C54" s="379">
        <f>C8+M8+N8+T8+W8</f>
        <v>16740630</v>
      </c>
      <c r="D54" s="379">
        <f>C21+M21+N21+W21+AN21-H17+386902</f>
        <v>-42333908.79800001</v>
      </c>
      <c r="E54" s="80">
        <v>12684122</v>
      </c>
      <c r="F54" s="80">
        <v>-28469275</v>
      </c>
      <c r="G54" s="379">
        <v>4056508</v>
      </c>
      <c r="H54" s="379">
        <v>-13864633.798000008</v>
      </c>
      <c r="I54" s="74"/>
      <c r="J54" s="72"/>
      <c r="K54" s="72"/>
      <c r="L54" s="72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2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2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127"/>
      <c r="BL54" s="95"/>
      <c r="BM54" s="73"/>
      <c r="BN54" s="78"/>
      <c r="BO54" s="72"/>
      <c r="BP54" s="73"/>
      <c r="BQ54" s="73"/>
    </row>
    <row r="55" spans="1:69" ht="12.75">
      <c r="A55" s="95"/>
      <c r="B55" t="s">
        <v>210</v>
      </c>
      <c r="C55" s="95">
        <f>BH8</f>
        <v>10146699</v>
      </c>
      <c r="D55" s="379">
        <f>BH21</f>
        <v>-1172572</v>
      </c>
      <c r="E55" s="95">
        <v>7618798</v>
      </c>
      <c r="F55" s="95">
        <v>-1441729</v>
      </c>
      <c r="G55" s="379">
        <v>2527901</v>
      </c>
      <c r="H55" s="379">
        <v>269157</v>
      </c>
      <c r="I55" s="95"/>
      <c r="J55" s="49"/>
      <c r="K55" s="49"/>
      <c r="L55" s="49"/>
      <c r="M55" s="95"/>
      <c r="N55" s="95"/>
      <c r="O55" s="137"/>
      <c r="P55" s="95"/>
      <c r="Q55" s="137"/>
      <c r="R55" s="95"/>
      <c r="S55" s="137"/>
      <c r="T55" s="137"/>
      <c r="U55" s="137"/>
      <c r="V55" s="137"/>
      <c r="W55" s="137"/>
      <c r="X55" s="137"/>
      <c r="Y55" s="137"/>
      <c r="Z55" s="137"/>
      <c r="AA55" s="95"/>
      <c r="AB55" s="95"/>
      <c r="AC55" s="49"/>
      <c r="AD55" s="49"/>
      <c r="AE55" s="95"/>
      <c r="AF55" s="95"/>
      <c r="AG55" s="95"/>
      <c r="AH55" s="95"/>
      <c r="AI55" s="95"/>
      <c r="AJ55" s="95"/>
      <c r="AK55" s="95"/>
      <c r="AL55" s="137"/>
      <c r="AM55" s="95"/>
      <c r="AN55" s="137"/>
      <c r="AO55" s="137"/>
      <c r="AP55" s="95"/>
      <c r="AQ55" s="95"/>
      <c r="AR55" s="49"/>
      <c r="AS55" s="49"/>
      <c r="AT55" s="95"/>
      <c r="AU55" s="95"/>
      <c r="AV55" s="137"/>
      <c r="AW55" s="137"/>
      <c r="AX55" s="137"/>
      <c r="AY55" s="137"/>
      <c r="AZ55" s="137"/>
      <c r="BA55" s="137"/>
      <c r="BB55" s="95"/>
      <c r="BC55" s="95"/>
      <c r="BD55" s="49"/>
      <c r="BE55" s="170"/>
      <c r="BF55" s="49"/>
      <c r="BG55" s="50">
        <f>(BG53/100)*BG18</f>
        <v>-168523.2794</v>
      </c>
      <c r="BH55" s="50">
        <f>(BH53/100)*BH18</f>
        <v>-527657.4</v>
      </c>
      <c r="BI55" s="50">
        <f>(BI53/100)*BI18</f>
        <v>-1400586.03</v>
      </c>
      <c r="BJ55" s="50">
        <f>(BJ53/100)*BJ18</f>
        <v>0</v>
      </c>
      <c r="BM55" s="49"/>
      <c r="BN55" s="49"/>
      <c r="BO55" s="49"/>
      <c r="BP55" s="95"/>
      <c r="BQ55" s="95"/>
    </row>
    <row r="56" spans="2:69" ht="12.75">
      <c r="B56" t="s">
        <v>211</v>
      </c>
      <c r="C56" s="95">
        <f>O8</f>
        <v>2817395</v>
      </c>
      <c r="D56" s="379">
        <f>O21+H17</f>
        <v>-1167932.3219999997</v>
      </c>
      <c r="E56" s="95">
        <v>2262291</v>
      </c>
      <c r="F56" s="95">
        <v>-1597375.2</v>
      </c>
      <c r="G56" s="379">
        <v>555104</v>
      </c>
      <c r="H56" s="379">
        <v>363443</v>
      </c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287"/>
      <c r="BF56" s="49"/>
      <c r="BG56" s="102"/>
      <c r="BH56" s="102"/>
      <c r="BI56" s="102"/>
      <c r="BJ56" s="102"/>
      <c r="BK56" s="102"/>
      <c r="BL56" s="102"/>
      <c r="BM56" s="49"/>
      <c r="BN56" s="49"/>
      <c r="BO56" s="49"/>
      <c r="BP56" s="49"/>
      <c r="BQ56" s="49"/>
    </row>
    <row r="57" spans="2:69" ht="12.75">
      <c r="B57" t="s">
        <v>188</v>
      </c>
      <c r="C57" s="95">
        <f>V8+BG8</f>
        <v>3427411.12</v>
      </c>
      <c r="D57" s="379">
        <f>BG21+V21</f>
        <v>-1176941.94</v>
      </c>
      <c r="E57" s="95">
        <v>1453685</v>
      </c>
      <c r="F57" s="95">
        <v>-960294.5</v>
      </c>
      <c r="G57" s="379">
        <v>1973726.12</v>
      </c>
      <c r="H57" s="379">
        <v>-216647.44</v>
      </c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287"/>
      <c r="BF57" s="95"/>
      <c r="BG57" s="49"/>
      <c r="BH57" s="170"/>
      <c r="BI57" s="49"/>
      <c r="BJ57" s="49"/>
      <c r="BK57" s="49"/>
      <c r="BL57" s="49"/>
      <c r="BM57" s="49"/>
      <c r="BN57" s="49"/>
      <c r="BO57" s="49"/>
      <c r="BP57" s="49"/>
      <c r="BQ57" s="49"/>
    </row>
    <row r="58" spans="1:69" ht="12.75">
      <c r="A58" s="95"/>
      <c r="C58" s="380">
        <f>SUM(C53:C57)</f>
        <v>33132135.12</v>
      </c>
      <c r="D58" s="383">
        <f>SUM(D53:D57)</f>
        <v>-63259662.18000001</v>
      </c>
      <c r="E58" s="380">
        <f>SUM(E53:E57)</f>
        <v>24018896</v>
      </c>
      <c r="F58" s="383">
        <f>SUM(F53:F57)</f>
        <v>-45107798.34</v>
      </c>
      <c r="G58" s="383">
        <v>9113239.120000001</v>
      </c>
      <c r="H58" s="383">
        <f>SUM(H53:H57)</f>
        <v>-18217863.71800001</v>
      </c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287"/>
      <c r="BF58" s="95"/>
      <c r="BG58" s="95"/>
      <c r="BH58" s="95"/>
      <c r="BI58" s="95"/>
      <c r="BJ58" s="95"/>
      <c r="BK58" s="95"/>
      <c r="BM58" s="49"/>
      <c r="BN58" s="49"/>
      <c r="BO58" s="49"/>
      <c r="BP58" s="49"/>
      <c r="BQ58" s="49"/>
    </row>
    <row r="59" spans="1:69" ht="12.75">
      <c r="A59" s="95"/>
      <c r="C59" s="95"/>
      <c r="D59" s="379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287"/>
      <c r="BF59" s="95"/>
      <c r="BG59" s="95"/>
      <c r="BH59" s="95"/>
      <c r="BI59" s="95"/>
      <c r="BJ59" s="95"/>
      <c r="BK59" s="95"/>
      <c r="BM59" s="49"/>
      <c r="BN59" s="49"/>
      <c r="BO59" s="49"/>
      <c r="BP59" s="49"/>
      <c r="BQ59" s="49"/>
    </row>
    <row r="60" spans="1:69" ht="12.75">
      <c r="A60" s="95" t="s">
        <v>163</v>
      </c>
      <c r="C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287"/>
      <c r="BF60" s="95"/>
      <c r="BG60" s="95">
        <v>1500000</v>
      </c>
      <c r="BH60" s="95">
        <v>4000000</v>
      </c>
      <c r="BI60" s="95">
        <v>250000</v>
      </c>
      <c r="BJ60" s="95">
        <v>80201849</v>
      </c>
      <c r="BK60" s="95"/>
      <c r="BL60" s="95"/>
      <c r="BM60" s="49"/>
      <c r="BN60" s="49"/>
      <c r="BO60" s="49"/>
      <c r="BP60" s="49"/>
      <c r="BQ60" s="49"/>
    </row>
    <row r="61" spans="1:64" ht="12.75">
      <c r="A61" s="103" t="s">
        <v>164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288"/>
      <c r="BF61" s="95"/>
      <c r="BG61" s="95">
        <f>(BG53/100)*BG60</f>
        <v>735000</v>
      </c>
      <c r="BH61" s="95">
        <f>(BH53/100)*BH60</f>
        <v>1800000</v>
      </c>
      <c r="BI61" s="95">
        <f>(BI53/100)*BI60</f>
        <v>62500</v>
      </c>
      <c r="BJ61" s="95">
        <f>(BJ53/100)*BJ60</f>
        <v>32537890.1393</v>
      </c>
      <c r="BK61" s="95"/>
      <c r="BL61" s="95"/>
    </row>
    <row r="62" spans="1:64" ht="12.75">
      <c r="A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288"/>
      <c r="BF62" s="103"/>
      <c r="BG62" s="95"/>
      <c r="BH62" s="95"/>
      <c r="BI62" s="95"/>
      <c r="BJ62" s="95"/>
      <c r="BK62" s="95"/>
      <c r="BL62" s="95"/>
    </row>
    <row r="63" spans="1:64" ht="12.75">
      <c r="A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288"/>
      <c r="BF63" s="103"/>
      <c r="BG63" s="103"/>
      <c r="BH63" s="103"/>
      <c r="BI63" s="103"/>
      <c r="BJ63" s="103"/>
      <c r="BK63" s="103"/>
      <c r="BL63" s="103"/>
    </row>
    <row r="64" spans="1:64" ht="12.75">
      <c r="A64" s="227" t="str">
        <f>A1</f>
        <v>AUSTRAL AMALGAMATED BERHAD</v>
      </c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288"/>
      <c r="BF64" s="103"/>
      <c r="BG64" s="103"/>
      <c r="BH64" s="103"/>
      <c r="BI64" s="103"/>
      <c r="BJ64" s="103"/>
      <c r="BK64" s="103"/>
      <c r="BL64" s="103"/>
    </row>
    <row r="65" spans="1:64" ht="12.75">
      <c r="A65" s="227" t="str">
        <f>A2</f>
        <v>GROUP  PROFIT AND LOSS ACCOUNT (based on amended June 99 balances)</v>
      </c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288"/>
      <c r="BF65" s="103"/>
      <c r="BG65" s="103"/>
      <c r="BH65" s="103"/>
      <c r="BI65" s="103"/>
      <c r="BJ65" s="103"/>
      <c r="BK65" s="103"/>
      <c r="BL65" s="103"/>
    </row>
    <row r="66" spans="1:64" ht="12.75">
      <c r="A66" s="227" t="str">
        <f>A3</f>
        <v>For the Year Ended 30th June 2000</v>
      </c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288"/>
      <c r="BF66" s="103"/>
      <c r="BG66" s="103"/>
      <c r="BH66" s="103"/>
      <c r="BI66" s="103"/>
      <c r="BJ66" s="103"/>
      <c r="BK66" s="103"/>
      <c r="BL66" s="103"/>
    </row>
    <row r="67" spans="1:64" ht="12.75">
      <c r="A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288"/>
      <c r="BF67" s="103"/>
      <c r="BG67" s="103"/>
      <c r="BH67" s="103"/>
      <c r="BI67" s="103"/>
      <c r="BJ67" s="103"/>
      <c r="BK67" s="103"/>
      <c r="BL67" s="103"/>
    </row>
    <row r="68" spans="1:64" ht="12.75">
      <c r="A68" s="227" t="s">
        <v>0</v>
      </c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288"/>
      <c r="BF68" s="103"/>
      <c r="BG68" s="103"/>
      <c r="BH68" s="103"/>
      <c r="BI68" s="103"/>
      <c r="BJ68" s="103"/>
      <c r="BK68" s="103"/>
      <c r="BL68" s="103"/>
    </row>
    <row r="69" spans="1:69" s="49" customFormat="1" ht="15.75" customHeight="1">
      <c r="A69" s="51"/>
      <c r="B69" s="278"/>
      <c r="C69" s="52" t="s">
        <v>21</v>
      </c>
      <c r="D69" s="53" t="s">
        <v>334</v>
      </c>
      <c r="E69" s="54"/>
      <c r="F69" s="55"/>
      <c r="G69" s="55"/>
      <c r="H69" s="55"/>
      <c r="I69" s="56"/>
      <c r="J69" s="57"/>
      <c r="K69" s="57"/>
      <c r="L69" s="51"/>
      <c r="M69" s="52" t="s">
        <v>335</v>
      </c>
      <c r="N69" s="52" t="s">
        <v>335</v>
      </c>
      <c r="O69" s="59" t="s">
        <v>337</v>
      </c>
      <c r="P69" s="59" t="s">
        <v>337</v>
      </c>
      <c r="Q69" s="159" t="s">
        <v>338</v>
      </c>
      <c r="R69" s="59" t="s">
        <v>338</v>
      </c>
      <c r="S69" s="59" t="s">
        <v>336</v>
      </c>
      <c r="T69" s="59" t="s">
        <v>345</v>
      </c>
      <c r="U69" s="59" t="s">
        <v>352</v>
      </c>
      <c r="V69" s="59" t="s">
        <v>341</v>
      </c>
      <c r="W69" s="59" t="s">
        <v>340</v>
      </c>
      <c r="X69" s="159" t="s">
        <v>350</v>
      </c>
      <c r="Y69" s="59" t="s">
        <v>339</v>
      </c>
      <c r="Z69" s="59" t="s">
        <v>342</v>
      </c>
      <c r="AA69" s="59" t="s">
        <v>342</v>
      </c>
      <c r="AB69" s="59"/>
      <c r="AC69" s="57"/>
      <c r="AD69" s="51"/>
      <c r="AE69" s="52" t="s">
        <v>343</v>
      </c>
      <c r="AF69" s="52" t="s">
        <v>344</v>
      </c>
      <c r="AG69" s="52" t="s">
        <v>344</v>
      </c>
      <c r="AH69" s="52" t="s">
        <v>344</v>
      </c>
      <c r="AI69" s="52" t="s">
        <v>344</v>
      </c>
      <c r="AJ69" s="52" t="s">
        <v>344</v>
      </c>
      <c r="AK69" s="52" t="s">
        <v>344</v>
      </c>
      <c r="AL69" s="52" t="s">
        <v>344</v>
      </c>
      <c r="AM69" s="59" t="s">
        <v>335</v>
      </c>
      <c r="AN69" s="59" t="s">
        <v>346</v>
      </c>
      <c r="AO69" s="59" t="s">
        <v>347</v>
      </c>
      <c r="AP69" s="59" t="s">
        <v>348</v>
      </c>
      <c r="AQ69" s="59"/>
      <c r="AR69" s="57"/>
      <c r="AS69" s="51"/>
      <c r="AT69" s="60" t="s">
        <v>349</v>
      </c>
      <c r="AU69" s="59"/>
      <c r="AV69" s="59" t="s">
        <v>350</v>
      </c>
      <c r="AW69" s="59" t="s">
        <v>350</v>
      </c>
      <c r="AX69" s="59" t="s">
        <v>351</v>
      </c>
      <c r="AY69" s="59" t="s">
        <v>338</v>
      </c>
      <c r="AZ69" s="59" t="s">
        <v>338</v>
      </c>
      <c r="BA69" s="59" t="s">
        <v>338</v>
      </c>
      <c r="BB69" s="59" t="s">
        <v>353</v>
      </c>
      <c r="BC69" s="59"/>
      <c r="BD69" s="57"/>
      <c r="BE69" s="286"/>
      <c r="BF69" s="51"/>
      <c r="BG69" s="159" t="s">
        <v>291</v>
      </c>
      <c r="BH69" s="59" t="s">
        <v>354</v>
      </c>
      <c r="BI69" s="59" t="s">
        <v>422</v>
      </c>
      <c r="BJ69" s="61"/>
      <c r="BK69" s="59"/>
      <c r="BL69" s="59"/>
      <c r="BM69" s="62"/>
      <c r="BN69" s="62"/>
      <c r="BO69" s="51"/>
      <c r="BP69" s="52" t="s">
        <v>453</v>
      </c>
      <c r="BQ69" s="52" t="s">
        <v>453</v>
      </c>
    </row>
    <row r="70" spans="1:69" s="49" customFormat="1" ht="16.5" customHeight="1">
      <c r="A70" s="226" t="s">
        <v>432</v>
      </c>
      <c r="B70" s="95"/>
      <c r="C70" s="64" t="s">
        <v>22</v>
      </c>
      <c r="D70" s="65" t="s">
        <v>356</v>
      </c>
      <c r="E70" s="65" t="s">
        <v>357</v>
      </c>
      <c r="F70" s="65" t="s">
        <v>372</v>
      </c>
      <c r="G70" s="65" t="s">
        <v>359</v>
      </c>
      <c r="H70" s="65" t="s">
        <v>360</v>
      </c>
      <c r="I70" s="64" t="s">
        <v>361</v>
      </c>
      <c r="J70" s="57"/>
      <c r="K70" s="57"/>
      <c r="L70" s="63" t="s">
        <v>432</v>
      </c>
      <c r="M70" s="64" t="s">
        <v>362</v>
      </c>
      <c r="N70" s="64" t="s">
        <v>363</v>
      </c>
      <c r="O70" s="65" t="s">
        <v>370</v>
      </c>
      <c r="P70" s="65" t="s">
        <v>366</v>
      </c>
      <c r="Q70" s="160" t="s">
        <v>421</v>
      </c>
      <c r="R70" s="65" t="s">
        <v>367</v>
      </c>
      <c r="S70" s="65" t="s">
        <v>364</v>
      </c>
      <c r="T70" s="65" t="s">
        <v>380</v>
      </c>
      <c r="U70" s="65" t="s">
        <v>363</v>
      </c>
      <c r="V70" s="65" t="s">
        <v>371</v>
      </c>
      <c r="W70" s="65" t="s">
        <v>369</v>
      </c>
      <c r="X70" s="160" t="s">
        <v>385</v>
      </c>
      <c r="Y70" s="65" t="s">
        <v>368</v>
      </c>
      <c r="Z70" s="65" t="s">
        <v>20</v>
      </c>
      <c r="AA70" s="65" t="s">
        <v>19</v>
      </c>
      <c r="AB70" s="65" t="s">
        <v>372</v>
      </c>
      <c r="AC70" s="66"/>
      <c r="AD70" s="63" t="s">
        <v>432</v>
      </c>
      <c r="AE70" s="64"/>
      <c r="AF70" s="64" t="s">
        <v>373</v>
      </c>
      <c r="AG70" s="65" t="s">
        <v>374</v>
      </c>
      <c r="AH70" s="65" t="s">
        <v>375</v>
      </c>
      <c r="AI70" s="65" t="s">
        <v>376</v>
      </c>
      <c r="AJ70" s="65" t="s">
        <v>377</v>
      </c>
      <c r="AK70" s="65" t="s">
        <v>378</v>
      </c>
      <c r="AL70" s="65" t="s">
        <v>379</v>
      </c>
      <c r="AM70" s="65" t="s">
        <v>365</v>
      </c>
      <c r="AN70" s="65" t="s">
        <v>381</v>
      </c>
      <c r="AO70" s="65" t="s">
        <v>382</v>
      </c>
      <c r="AP70" s="65" t="s">
        <v>383</v>
      </c>
      <c r="AQ70" s="65" t="s">
        <v>372</v>
      </c>
      <c r="AR70" s="66"/>
      <c r="AS70" s="63" t="s">
        <v>432</v>
      </c>
      <c r="AT70" s="64" t="s">
        <v>384</v>
      </c>
      <c r="AU70" s="65"/>
      <c r="AV70" s="65" t="s">
        <v>391</v>
      </c>
      <c r="AW70" s="65" t="s">
        <v>392</v>
      </c>
      <c r="AX70" s="65" t="s">
        <v>393</v>
      </c>
      <c r="AY70" s="65" t="s">
        <v>394</v>
      </c>
      <c r="AZ70" s="65" t="s">
        <v>467</v>
      </c>
      <c r="BA70" s="65" t="s">
        <v>395</v>
      </c>
      <c r="BB70" s="65" t="s">
        <v>396</v>
      </c>
      <c r="BC70" s="65" t="s">
        <v>372</v>
      </c>
      <c r="BD70" s="66"/>
      <c r="BE70" s="286"/>
      <c r="BF70" s="63" t="s">
        <v>432</v>
      </c>
      <c r="BG70" s="160" t="s">
        <v>397</v>
      </c>
      <c r="BH70" s="65" t="s">
        <v>398</v>
      </c>
      <c r="BI70" s="65" t="s">
        <v>423</v>
      </c>
      <c r="BJ70" s="67"/>
      <c r="BK70" s="65"/>
      <c r="BL70" s="65" t="s">
        <v>372</v>
      </c>
      <c r="BM70" s="68"/>
      <c r="BN70" s="68"/>
      <c r="BO70" s="63" t="s">
        <v>432</v>
      </c>
      <c r="BP70" s="171" t="s">
        <v>37</v>
      </c>
      <c r="BQ70" s="171" t="s">
        <v>39</v>
      </c>
    </row>
    <row r="71" spans="1:69" ht="16.5" customHeight="1">
      <c r="A71" s="232"/>
      <c r="B71" s="279" t="s">
        <v>1</v>
      </c>
      <c r="C71" s="228"/>
      <c r="D71" s="228"/>
      <c r="E71" s="228"/>
      <c r="F71" s="228"/>
      <c r="G71" s="228"/>
      <c r="H71" s="228"/>
      <c r="I71" s="228"/>
      <c r="J71" s="72"/>
      <c r="K71" s="72"/>
      <c r="L71" s="241" t="s">
        <v>1</v>
      </c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73"/>
      <c r="AD71" s="241" t="s">
        <v>1</v>
      </c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73"/>
      <c r="AS71" s="241" t="s">
        <v>1</v>
      </c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73"/>
      <c r="BE71" s="127"/>
      <c r="BF71" s="241" t="s">
        <v>1</v>
      </c>
      <c r="BG71" s="228"/>
      <c r="BH71" s="238"/>
      <c r="BI71" s="228"/>
      <c r="BJ71" s="228"/>
      <c r="BK71" s="228"/>
      <c r="BL71" s="228"/>
      <c r="BM71" s="74"/>
      <c r="BN71" s="74"/>
      <c r="BO71" s="241" t="s">
        <v>1</v>
      </c>
      <c r="BP71" s="70"/>
      <c r="BQ71" s="70"/>
    </row>
    <row r="72" spans="1:71" s="18" customFormat="1" ht="16.5" customHeight="1">
      <c r="A72" s="276"/>
      <c r="B72" s="223" t="s">
        <v>2</v>
      </c>
      <c r="C72" s="29">
        <v>0</v>
      </c>
      <c r="D72" s="126">
        <f>AB72</f>
        <v>1126143</v>
      </c>
      <c r="E72" s="126">
        <f>BL72</f>
        <v>537504</v>
      </c>
      <c r="F72" s="126">
        <f>SUM(C72:E72)</f>
        <v>1663647</v>
      </c>
      <c r="G72" s="229"/>
      <c r="H72" s="229"/>
      <c r="I72" s="207">
        <f aca="true" t="shared" si="40" ref="I72:I80">F72-G72+H72</f>
        <v>1663647</v>
      </c>
      <c r="J72" s="3"/>
      <c r="K72" s="3"/>
      <c r="L72" s="242" t="s">
        <v>2</v>
      </c>
      <c r="M72" s="249">
        <v>0</v>
      </c>
      <c r="N72" s="249">
        <v>0</v>
      </c>
      <c r="O72" s="249">
        <v>1126143</v>
      </c>
      <c r="P72" s="249">
        <v>0</v>
      </c>
      <c r="Q72" s="249">
        <v>0</v>
      </c>
      <c r="R72" s="249">
        <v>0</v>
      </c>
      <c r="S72" s="249">
        <v>0</v>
      </c>
      <c r="T72" s="249">
        <v>0</v>
      </c>
      <c r="U72" s="249">
        <v>0</v>
      </c>
      <c r="V72" s="249">
        <v>0</v>
      </c>
      <c r="W72" s="249">
        <v>0</v>
      </c>
      <c r="X72" s="249">
        <v>0</v>
      </c>
      <c r="Y72" s="249">
        <v>0</v>
      </c>
      <c r="Z72" s="126">
        <f aca="true" t="shared" si="41" ref="Z72:Z80">AQ72</f>
        <v>0</v>
      </c>
      <c r="AA72" s="126">
        <f aca="true" t="shared" si="42" ref="AA72:AA80">BC72</f>
        <v>0</v>
      </c>
      <c r="AB72" s="87">
        <f>SUM(M72:AA72)</f>
        <v>1126143</v>
      </c>
      <c r="AC72" s="3"/>
      <c r="AD72" s="242" t="s">
        <v>2</v>
      </c>
      <c r="AE72" s="260">
        <v>0</v>
      </c>
      <c r="AF72" s="249">
        <v>0</v>
      </c>
      <c r="AG72" s="249">
        <v>0</v>
      </c>
      <c r="AH72" s="249">
        <v>0</v>
      </c>
      <c r="AI72" s="249">
        <v>0</v>
      </c>
      <c r="AJ72" s="249">
        <v>0</v>
      </c>
      <c r="AK72" s="249">
        <v>0</v>
      </c>
      <c r="AL72" s="249">
        <v>0</v>
      </c>
      <c r="AM72" s="249">
        <v>0</v>
      </c>
      <c r="AN72" s="249">
        <v>0</v>
      </c>
      <c r="AO72" s="249">
        <v>0</v>
      </c>
      <c r="AP72" s="249">
        <v>0</v>
      </c>
      <c r="AQ72" s="126">
        <f aca="true" t="shared" si="43" ref="AQ72:AQ80">SUM(AE72:AP72)</f>
        <v>0</v>
      </c>
      <c r="AR72" s="200"/>
      <c r="AS72" s="242" t="s">
        <v>2</v>
      </c>
      <c r="AT72" s="231">
        <v>0</v>
      </c>
      <c r="AU72" s="231"/>
      <c r="AV72" s="231">
        <v>0</v>
      </c>
      <c r="AW72" s="231">
        <v>0</v>
      </c>
      <c r="AX72" s="231">
        <v>0</v>
      </c>
      <c r="AY72" s="231">
        <v>0</v>
      </c>
      <c r="AZ72" s="231">
        <v>0</v>
      </c>
      <c r="BA72" s="231">
        <v>0</v>
      </c>
      <c r="BB72" s="231">
        <v>0</v>
      </c>
      <c r="BC72" s="88">
        <f aca="true" t="shared" si="44" ref="BC72:BC79">SUM(AT72:BB72)</f>
        <v>0</v>
      </c>
      <c r="BD72" s="199"/>
      <c r="BE72" s="289"/>
      <c r="BF72" s="242" t="s">
        <v>2</v>
      </c>
      <c r="BG72" s="237">
        <v>0</v>
      </c>
      <c r="BH72" s="237">
        <v>537504</v>
      </c>
      <c r="BI72" s="237">
        <v>0</v>
      </c>
      <c r="BJ72" s="234"/>
      <c r="BK72" s="236"/>
      <c r="BL72" s="269">
        <f>SUM(BG72:BK72)</f>
        <v>537504</v>
      </c>
      <c r="BM72" s="200"/>
      <c r="BN72" s="200"/>
      <c r="BO72" s="246" t="s">
        <v>2</v>
      </c>
      <c r="BP72" s="3"/>
      <c r="BQ72" s="3"/>
      <c r="BR72" s="201"/>
      <c r="BS72" s="201"/>
    </row>
    <row r="73" spans="1:71" s="5" customFormat="1" ht="16.5" customHeight="1">
      <c r="A73" s="277"/>
      <c r="B73" s="41" t="s">
        <v>3</v>
      </c>
      <c r="C73" s="29">
        <v>0</v>
      </c>
      <c r="D73" s="126">
        <f aca="true" t="shared" si="45" ref="D73:D80">AB73</f>
        <v>0</v>
      </c>
      <c r="E73" s="126">
        <f aca="true" t="shared" si="46" ref="E73:E80">BL73</f>
        <v>0</v>
      </c>
      <c r="F73" s="126">
        <f aca="true" t="shared" si="47" ref="F73:F80">SUM(C73:E73)</f>
        <v>0</v>
      </c>
      <c r="G73" s="29"/>
      <c r="H73" s="29"/>
      <c r="I73" s="207">
        <f t="shared" si="40"/>
        <v>0</v>
      </c>
      <c r="J73" s="203"/>
      <c r="K73" s="203"/>
      <c r="L73" s="29" t="s">
        <v>3</v>
      </c>
      <c r="M73" s="249">
        <v>0</v>
      </c>
      <c r="N73" s="249">
        <v>0</v>
      </c>
      <c r="O73" s="249">
        <v>0</v>
      </c>
      <c r="P73" s="249">
        <v>0</v>
      </c>
      <c r="Q73" s="249">
        <v>0</v>
      </c>
      <c r="R73" s="249">
        <v>0</v>
      </c>
      <c r="S73" s="249">
        <v>0</v>
      </c>
      <c r="T73" s="249">
        <v>0</v>
      </c>
      <c r="U73" s="249">
        <v>0</v>
      </c>
      <c r="V73" s="249">
        <v>0</v>
      </c>
      <c r="W73" s="249">
        <v>0</v>
      </c>
      <c r="X73" s="249">
        <v>0</v>
      </c>
      <c r="Y73" s="249">
        <v>0</v>
      </c>
      <c r="Z73" s="126">
        <f t="shared" si="41"/>
        <v>0</v>
      </c>
      <c r="AA73" s="126">
        <f t="shared" si="42"/>
        <v>0</v>
      </c>
      <c r="AB73" s="87">
        <f aca="true" t="shared" si="48" ref="AB73:AB80">SUM(M73:AA73)</f>
        <v>0</v>
      </c>
      <c r="AC73" s="203"/>
      <c r="AD73" s="29" t="s">
        <v>3</v>
      </c>
      <c r="AE73" s="258">
        <v>0</v>
      </c>
      <c r="AF73" s="258">
        <v>0</v>
      </c>
      <c r="AG73" s="258">
        <v>0</v>
      </c>
      <c r="AH73" s="258">
        <v>0</v>
      </c>
      <c r="AI73" s="258">
        <v>0</v>
      </c>
      <c r="AJ73" s="258">
        <v>0</v>
      </c>
      <c r="AK73" s="258">
        <v>0</v>
      </c>
      <c r="AL73" s="258">
        <v>0</v>
      </c>
      <c r="AM73" s="258">
        <v>0</v>
      </c>
      <c r="AN73" s="258">
        <v>0</v>
      </c>
      <c r="AO73" s="258">
        <v>0</v>
      </c>
      <c r="AP73" s="258">
        <v>0</v>
      </c>
      <c r="AQ73" s="126">
        <f t="shared" si="43"/>
        <v>0</v>
      </c>
      <c r="AR73" s="41"/>
      <c r="AS73" s="29" t="s">
        <v>3</v>
      </c>
      <c r="AT73" s="231">
        <v>0</v>
      </c>
      <c r="AU73" s="231"/>
      <c r="AV73" s="231">
        <v>0</v>
      </c>
      <c r="AW73" s="231">
        <v>0</v>
      </c>
      <c r="AX73" s="231">
        <v>0</v>
      </c>
      <c r="AY73" s="231">
        <v>0</v>
      </c>
      <c r="AZ73" s="231">
        <v>0</v>
      </c>
      <c r="BA73" s="231">
        <v>0</v>
      </c>
      <c r="BB73" s="231">
        <v>0</v>
      </c>
      <c r="BC73" s="88">
        <f t="shared" si="44"/>
        <v>0</v>
      </c>
      <c r="BD73" s="41"/>
      <c r="BE73" s="204"/>
      <c r="BF73" s="29" t="s">
        <v>3</v>
      </c>
      <c r="BG73" s="237">
        <v>0</v>
      </c>
      <c r="BH73" s="237">
        <v>0</v>
      </c>
      <c r="BI73" s="237">
        <v>0</v>
      </c>
      <c r="BJ73" s="29"/>
      <c r="BK73" s="151"/>
      <c r="BL73" s="269">
        <f aca="true" t="shared" si="49" ref="BL73:BL80">SUM(BG73:BK73)</f>
        <v>0</v>
      </c>
      <c r="BM73" s="41"/>
      <c r="BN73" s="41"/>
      <c r="BO73" s="230" t="s">
        <v>3</v>
      </c>
      <c r="BP73" s="203"/>
      <c r="BQ73" s="202"/>
      <c r="BR73" s="41"/>
      <c r="BS73" s="41"/>
    </row>
    <row r="74" spans="1:67" ht="13.5">
      <c r="A74" s="232"/>
      <c r="B74" s="103" t="s">
        <v>4</v>
      </c>
      <c r="C74" s="231">
        <v>50738</v>
      </c>
      <c r="D74" s="126">
        <f t="shared" si="45"/>
        <v>333</v>
      </c>
      <c r="E74" s="126">
        <f t="shared" si="46"/>
        <v>0</v>
      </c>
      <c r="F74" s="126">
        <f t="shared" si="47"/>
        <v>51071</v>
      </c>
      <c r="G74" s="231"/>
      <c r="H74" s="231"/>
      <c r="I74" s="207">
        <f t="shared" si="40"/>
        <v>51071</v>
      </c>
      <c r="J74" s="103"/>
      <c r="K74" s="103"/>
      <c r="L74" s="231" t="s">
        <v>4</v>
      </c>
      <c r="M74" s="249">
        <v>0</v>
      </c>
      <c r="N74" s="249">
        <v>0</v>
      </c>
      <c r="O74" s="249">
        <v>0</v>
      </c>
      <c r="P74" s="249">
        <v>0</v>
      </c>
      <c r="Q74" s="249">
        <v>0</v>
      </c>
      <c r="R74" s="231">
        <v>333</v>
      </c>
      <c r="S74" s="249">
        <v>0</v>
      </c>
      <c r="T74" s="249">
        <v>0</v>
      </c>
      <c r="U74" s="249">
        <v>0</v>
      </c>
      <c r="V74" s="249">
        <v>0</v>
      </c>
      <c r="W74" s="249">
        <v>0</v>
      </c>
      <c r="X74" s="249">
        <v>0</v>
      </c>
      <c r="Y74" s="249">
        <v>0</v>
      </c>
      <c r="Z74" s="126">
        <f t="shared" si="41"/>
        <v>0</v>
      </c>
      <c r="AA74" s="126">
        <f t="shared" si="42"/>
        <v>0</v>
      </c>
      <c r="AB74" s="87">
        <f t="shared" si="48"/>
        <v>333</v>
      </c>
      <c r="AC74" s="103"/>
      <c r="AD74" s="231" t="s">
        <v>4</v>
      </c>
      <c r="AE74" s="259">
        <v>0</v>
      </c>
      <c r="AF74" s="259">
        <v>0</v>
      </c>
      <c r="AG74" s="259">
        <v>0</v>
      </c>
      <c r="AH74" s="259">
        <v>0</v>
      </c>
      <c r="AI74" s="259">
        <v>0</v>
      </c>
      <c r="AJ74" s="259">
        <v>0</v>
      </c>
      <c r="AK74" s="259">
        <v>0</v>
      </c>
      <c r="AL74" s="259">
        <v>0</v>
      </c>
      <c r="AM74" s="259">
        <v>0</v>
      </c>
      <c r="AN74" s="259">
        <v>0</v>
      </c>
      <c r="AO74" s="259">
        <v>0</v>
      </c>
      <c r="AP74" s="259">
        <v>0</v>
      </c>
      <c r="AQ74" s="126">
        <f t="shared" si="43"/>
        <v>0</v>
      </c>
      <c r="AR74" s="103"/>
      <c r="AS74" s="231" t="s">
        <v>4</v>
      </c>
      <c r="AT74" s="231">
        <v>0</v>
      </c>
      <c r="AU74" s="231"/>
      <c r="AV74" s="231">
        <v>0</v>
      </c>
      <c r="AW74" s="231">
        <v>0</v>
      </c>
      <c r="AX74" s="231">
        <v>0</v>
      </c>
      <c r="AY74" s="231">
        <v>0</v>
      </c>
      <c r="AZ74" s="231">
        <v>0</v>
      </c>
      <c r="BA74" s="231">
        <v>0</v>
      </c>
      <c r="BB74" s="231">
        <v>0</v>
      </c>
      <c r="BC74" s="88">
        <f t="shared" si="44"/>
        <v>0</v>
      </c>
      <c r="BD74" s="103"/>
      <c r="BE74" s="288"/>
      <c r="BF74" s="231" t="s">
        <v>4</v>
      </c>
      <c r="BG74" s="231">
        <v>0</v>
      </c>
      <c r="BH74" s="231">
        <v>0</v>
      </c>
      <c r="BI74" s="231">
        <v>0</v>
      </c>
      <c r="BJ74" s="231"/>
      <c r="BK74" s="231"/>
      <c r="BL74" s="269">
        <f t="shared" si="49"/>
        <v>0</v>
      </c>
      <c r="BO74" s="232" t="s">
        <v>4</v>
      </c>
    </row>
    <row r="75" spans="1:67" ht="13.5">
      <c r="A75" s="232"/>
      <c r="B75" s="103" t="s">
        <v>5</v>
      </c>
      <c r="C75" s="231">
        <v>0</v>
      </c>
      <c r="D75" s="126">
        <f t="shared" si="45"/>
        <v>100212</v>
      </c>
      <c r="E75" s="126">
        <f t="shared" si="46"/>
        <v>16608</v>
      </c>
      <c r="F75" s="126">
        <f t="shared" si="47"/>
        <v>116820</v>
      </c>
      <c r="G75" s="231"/>
      <c r="H75" s="231"/>
      <c r="I75" s="207">
        <f t="shared" si="40"/>
        <v>116820</v>
      </c>
      <c r="J75" s="103"/>
      <c r="K75" s="103"/>
      <c r="L75" s="231" t="s">
        <v>5</v>
      </c>
      <c r="M75" s="249">
        <v>0</v>
      </c>
      <c r="N75" s="249">
        <v>0</v>
      </c>
      <c r="O75" s="249">
        <v>100694</v>
      </c>
      <c r="P75" s="249">
        <v>0</v>
      </c>
      <c r="Q75" s="249">
        <v>0</v>
      </c>
      <c r="R75" s="231">
        <v>0</v>
      </c>
      <c r="S75" s="249">
        <v>-482</v>
      </c>
      <c r="T75" s="249">
        <v>0</v>
      </c>
      <c r="U75" s="249">
        <v>0</v>
      </c>
      <c r="V75" s="249">
        <v>0</v>
      </c>
      <c r="W75" s="249">
        <v>0</v>
      </c>
      <c r="X75" s="249">
        <v>0</v>
      </c>
      <c r="Y75" s="249">
        <v>0</v>
      </c>
      <c r="Z75" s="126">
        <f t="shared" si="41"/>
        <v>0</v>
      </c>
      <c r="AA75" s="126">
        <f t="shared" si="42"/>
        <v>0</v>
      </c>
      <c r="AB75" s="87">
        <f t="shared" si="48"/>
        <v>100212</v>
      </c>
      <c r="AC75" s="103"/>
      <c r="AD75" s="231" t="s">
        <v>5</v>
      </c>
      <c r="AE75" s="259">
        <v>0</v>
      </c>
      <c r="AF75" s="259">
        <v>0</v>
      </c>
      <c r="AG75" s="259">
        <v>0</v>
      </c>
      <c r="AH75" s="259">
        <v>0</v>
      </c>
      <c r="AI75" s="259">
        <v>0</v>
      </c>
      <c r="AJ75" s="259">
        <v>0</v>
      </c>
      <c r="AK75" s="259">
        <v>0</v>
      </c>
      <c r="AL75" s="259">
        <v>0</v>
      </c>
      <c r="AM75" s="259">
        <v>0</v>
      </c>
      <c r="AN75" s="259">
        <v>0</v>
      </c>
      <c r="AO75" s="259">
        <v>0</v>
      </c>
      <c r="AP75" s="259">
        <v>0</v>
      </c>
      <c r="AQ75" s="126">
        <f t="shared" si="43"/>
        <v>0</v>
      </c>
      <c r="AR75" s="103"/>
      <c r="AS75" s="231" t="s">
        <v>5</v>
      </c>
      <c r="AT75" s="231">
        <v>0</v>
      </c>
      <c r="AU75" s="231"/>
      <c r="AV75" s="231">
        <v>0</v>
      </c>
      <c r="AW75" s="231">
        <v>0</v>
      </c>
      <c r="AX75" s="231">
        <v>0</v>
      </c>
      <c r="AY75" s="231">
        <v>0</v>
      </c>
      <c r="AZ75" s="231">
        <v>0</v>
      </c>
      <c r="BA75" s="231">
        <v>0</v>
      </c>
      <c r="BB75" s="231">
        <v>0</v>
      </c>
      <c r="BC75" s="88">
        <f t="shared" si="44"/>
        <v>0</v>
      </c>
      <c r="BD75" s="103"/>
      <c r="BE75" s="288"/>
      <c r="BF75" s="231" t="s">
        <v>5</v>
      </c>
      <c r="BG75" s="231">
        <v>0</v>
      </c>
      <c r="BH75" s="231">
        <v>16608</v>
      </c>
      <c r="BI75" s="231">
        <v>0</v>
      </c>
      <c r="BJ75" s="231"/>
      <c r="BK75" s="231"/>
      <c r="BL75" s="269">
        <f t="shared" si="49"/>
        <v>16608</v>
      </c>
      <c r="BO75" s="232" t="s">
        <v>5</v>
      </c>
    </row>
    <row r="76" spans="1:67" ht="13.5">
      <c r="A76" s="232"/>
      <c r="B76" s="103" t="s">
        <v>6</v>
      </c>
      <c r="C76" s="231">
        <v>0</v>
      </c>
      <c r="D76" s="126">
        <v>900000</v>
      </c>
      <c r="E76" s="126">
        <f t="shared" si="46"/>
        <v>0</v>
      </c>
      <c r="F76" s="126">
        <f t="shared" si="47"/>
        <v>900000</v>
      </c>
      <c r="G76" s="231"/>
      <c r="H76" s="231"/>
      <c r="I76" s="207">
        <f t="shared" si="40"/>
        <v>900000</v>
      </c>
      <c r="J76" s="103"/>
      <c r="K76" s="103"/>
      <c r="L76" s="231" t="s">
        <v>6</v>
      </c>
      <c r="M76" s="249">
        <v>0</v>
      </c>
      <c r="N76" s="249">
        <v>0</v>
      </c>
      <c r="O76" s="249">
        <v>0</v>
      </c>
      <c r="P76" s="249">
        <v>0</v>
      </c>
      <c r="Q76" s="249">
        <v>0</v>
      </c>
      <c r="R76" s="231">
        <v>0</v>
      </c>
      <c r="S76" s="249">
        <v>0</v>
      </c>
      <c r="T76" s="249">
        <v>0</v>
      </c>
      <c r="U76" s="249">
        <v>0</v>
      </c>
      <c r="V76" s="249">
        <v>0</v>
      </c>
      <c r="W76" s="249">
        <v>0</v>
      </c>
      <c r="X76" s="249">
        <v>0</v>
      </c>
      <c r="Y76" s="249">
        <v>0</v>
      </c>
      <c r="Z76" s="126">
        <f t="shared" si="41"/>
        <v>0</v>
      </c>
      <c r="AA76" s="126">
        <f t="shared" si="42"/>
        <v>0</v>
      </c>
      <c r="AB76" s="87">
        <f t="shared" si="48"/>
        <v>0</v>
      </c>
      <c r="AC76" s="103"/>
      <c r="AD76" s="231" t="s">
        <v>6</v>
      </c>
      <c r="AE76" s="259">
        <v>0</v>
      </c>
      <c r="AF76" s="259">
        <v>0</v>
      </c>
      <c r="AG76" s="259">
        <v>0</v>
      </c>
      <c r="AH76" s="259">
        <v>0</v>
      </c>
      <c r="AI76" s="259">
        <v>0</v>
      </c>
      <c r="AJ76" s="259">
        <v>0</v>
      </c>
      <c r="AK76" s="259">
        <v>0</v>
      </c>
      <c r="AL76" s="259">
        <v>0</v>
      </c>
      <c r="AM76" s="259">
        <v>0</v>
      </c>
      <c r="AN76" s="259">
        <v>0</v>
      </c>
      <c r="AO76" s="259">
        <v>0</v>
      </c>
      <c r="AP76" s="259">
        <v>0</v>
      </c>
      <c r="AQ76" s="126">
        <f t="shared" si="43"/>
        <v>0</v>
      </c>
      <c r="AR76" s="103"/>
      <c r="AS76" s="231" t="s">
        <v>6</v>
      </c>
      <c r="AT76" s="231">
        <v>0</v>
      </c>
      <c r="AU76" s="231"/>
      <c r="AV76" s="231">
        <v>0</v>
      </c>
      <c r="AW76" s="231">
        <v>0</v>
      </c>
      <c r="AX76" s="231">
        <v>0</v>
      </c>
      <c r="AY76" s="231">
        <v>0</v>
      </c>
      <c r="AZ76" s="231">
        <v>0</v>
      </c>
      <c r="BA76" s="231">
        <v>0</v>
      </c>
      <c r="BB76" s="231">
        <v>0</v>
      </c>
      <c r="BC76" s="88">
        <f t="shared" si="44"/>
        <v>0</v>
      </c>
      <c r="BD76" s="103"/>
      <c r="BE76" s="288"/>
      <c r="BF76" s="231" t="s">
        <v>6</v>
      </c>
      <c r="BG76" s="231">
        <v>0</v>
      </c>
      <c r="BH76" s="231">
        <v>0</v>
      </c>
      <c r="BI76" s="231">
        <v>0</v>
      </c>
      <c r="BJ76" s="231"/>
      <c r="BK76" s="231"/>
      <c r="BL76" s="269">
        <f t="shared" si="49"/>
        <v>0</v>
      </c>
      <c r="BO76" s="232" t="s">
        <v>6</v>
      </c>
    </row>
    <row r="77" spans="1:67" ht="13.5">
      <c r="A77" s="232"/>
      <c r="B77" s="103" t="s">
        <v>7</v>
      </c>
      <c r="C77" s="231">
        <v>339</v>
      </c>
      <c r="D77" s="126">
        <v>452561</v>
      </c>
      <c r="E77" s="126">
        <f t="shared" si="46"/>
        <v>0</v>
      </c>
      <c r="F77" s="126">
        <f t="shared" si="47"/>
        <v>452900</v>
      </c>
      <c r="G77" s="231"/>
      <c r="H77" s="231"/>
      <c r="I77" s="207">
        <f t="shared" si="40"/>
        <v>452900</v>
      </c>
      <c r="J77" s="103"/>
      <c r="K77" s="103"/>
      <c r="L77" s="231" t="s">
        <v>7</v>
      </c>
      <c r="M77" s="231">
        <v>1771</v>
      </c>
      <c r="N77" s="231">
        <v>14788</v>
      </c>
      <c r="O77" s="231">
        <v>17244</v>
      </c>
      <c r="P77" s="231"/>
      <c r="Q77" s="231">
        <v>261697</v>
      </c>
      <c r="R77" s="231">
        <v>0</v>
      </c>
      <c r="S77" s="249">
        <v>124880</v>
      </c>
      <c r="T77" s="249">
        <v>0</v>
      </c>
      <c r="U77" s="249">
        <v>0</v>
      </c>
      <c r="V77" s="249">
        <v>9361.21</v>
      </c>
      <c r="W77" s="231">
        <v>2820</v>
      </c>
      <c r="X77" s="249">
        <v>0</v>
      </c>
      <c r="Y77" s="249">
        <v>0</v>
      </c>
      <c r="Z77" s="126">
        <f t="shared" si="41"/>
        <v>0</v>
      </c>
      <c r="AA77" s="126">
        <f t="shared" si="42"/>
        <v>0</v>
      </c>
      <c r="AB77" s="87">
        <f t="shared" si="48"/>
        <v>432561.21</v>
      </c>
      <c r="AC77" s="103"/>
      <c r="AD77" s="231" t="s">
        <v>7</v>
      </c>
      <c r="AE77" s="259">
        <v>0</v>
      </c>
      <c r="AF77" s="259">
        <v>0</v>
      </c>
      <c r="AG77" s="259">
        <v>0</v>
      </c>
      <c r="AH77" s="259">
        <v>0</v>
      </c>
      <c r="AI77" s="259">
        <v>0</v>
      </c>
      <c r="AJ77" s="259">
        <v>0</v>
      </c>
      <c r="AK77" s="259">
        <v>0</v>
      </c>
      <c r="AL77" s="259">
        <v>0</v>
      </c>
      <c r="AM77" s="259">
        <v>0</v>
      </c>
      <c r="AN77" s="259">
        <v>0</v>
      </c>
      <c r="AO77" s="259">
        <v>0</v>
      </c>
      <c r="AP77" s="259">
        <v>0</v>
      </c>
      <c r="AQ77" s="126">
        <f t="shared" si="43"/>
        <v>0</v>
      </c>
      <c r="AR77" s="103"/>
      <c r="AS77" s="231" t="s">
        <v>7</v>
      </c>
      <c r="AT77" s="231">
        <v>0</v>
      </c>
      <c r="AU77" s="231"/>
      <c r="AV77" s="231">
        <v>0</v>
      </c>
      <c r="AW77" s="231">
        <v>0</v>
      </c>
      <c r="AX77" s="231">
        <v>0</v>
      </c>
      <c r="AY77" s="231">
        <v>0</v>
      </c>
      <c r="AZ77" s="231">
        <v>0</v>
      </c>
      <c r="BA77" s="231">
        <v>0</v>
      </c>
      <c r="BB77" s="231">
        <v>0</v>
      </c>
      <c r="BC77" s="88">
        <f t="shared" si="44"/>
        <v>0</v>
      </c>
      <c r="BD77" s="103"/>
      <c r="BE77" s="288"/>
      <c r="BF77" s="231" t="s">
        <v>7</v>
      </c>
      <c r="BG77" s="231">
        <v>0</v>
      </c>
      <c r="BH77" s="231">
        <v>0</v>
      </c>
      <c r="BI77" s="231">
        <v>0</v>
      </c>
      <c r="BJ77" s="231"/>
      <c r="BK77" s="231"/>
      <c r="BL77" s="269">
        <f t="shared" si="49"/>
        <v>0</v>
      </c>
      <c r="BO77" s="232" t="s">
        <v>7</v>
      </c>
    </row>
    <row r="78" spans="1:67" ht="13.5">
      <c r="A78" s="232"/>
      <c r="B78" s="103" t="s">
        <v>8</v>
      </c>
      <c r="C78" s="231">
        <v>0</v>
      </c>
      <c r="D78" s="126">
        <f t="shared" si="45"/>
        <v>0</v>
      </c>
      <c r="E78" s="126">
        <f t="shared" si="46"/>
        <v>144000</v>
      </c>
      <c r="F78" s="126">
        <f t="shared" si="47"/>
        <v>144000</v>
      </c>
      <c r="G78" s="231"/>
      <c r="H78" s="231"/>
      <c r="I78" s="207">
        <f t="shared" si="40"/>
        <v>144000</v>
      </c>
      <c r="J78" s="103"/>
      <c r="K78" s="103"/>
      <c r="L78" s="231" t="s">
        <v>8</v>
      </c>
      <c r="M78" s="231">
        <v>0</v>
      </c>
      <c r="N78" s="231">
        <v>0</v>
      </c>
      <c r="O78" s="231">
        <v>0</v>
      </c>
      <c r="P78" s="231">
        <v>0</v>
      </c>
      <c r="Q78" s="231">
        <v>0</v>
      </c>
      <c r="R78" s="231">
        <v>0</v>
      </c>
      <c r="S78" s="231">
        <v>0</v>
      </c>
      <c r="T78" s="231">
        <v>0</v>
      </c>
      <c r="U78" s="231">
        <v>0</v>
      </c>
      <c r="V78" s="231">
        <v>0</v>
      </c>
      <c r="W78" s="231">
        <v>0</v>
      </c>
      <c r="X78" s="249">
        <v>0</v>
      </c>
      <c r="Y78" s="249">
        <v>0</v>
      </c>
      <c r="Z78" s="126">
        <f t="shared" si="41"/>
        <v>0</v>
      </c>
      <c r="AA78" s="126">
        <f t="shared" si="42"/>
        <v>0</v>
      </c>
      <c r="AB78" s="87">
        <f t="shared" si="48"/>
        <v>0</v>
      </c>
      <c r="AC78" s="103"/>
      <c r="AD78" s="231" t="s">
        <v>8</v>
      </c>
      <c r="AE78" s="259">
        <v>0</v>
      </c>
      <c r="AF78" s="259">
        <v>0</v>
      </c>
      <c r="AG78" s="259">
        <v>0</v>
      </c>
      <c r="AH78" s="259">
        <v>0</v>
      </c>
      <c r="AI78" s="259">
        <v>0</v>
      </c>
      <c r="AJ78" s="259">
        <v>0</v>
      </c>
      <c r="AK78" s="259">
        <v>0</v>
      </c>
      <c r="AL78" s="259">
        <v>0</v>
      </c>
      <c r="AM78" s="259">
        <v>0</v>
      </c>
      <c r="AN78" s="259">
        <v>0</v>
      </c>
      <c r="AO78" s="259">
        <v>0</v>
      </c>
      <c r="AP78" s="259">
        <v>0</v>
      </c>
      <c r="AQ78" s="126">
        <f t="shared" si="43"/>
        <v>0</v>
      </c>
      <c r="AR78" s="103"/>
      <c r="AS78" s="231" t="s">
        <v>8</v>
      </c>
      <c r="AT78" s="231">
        <v>0</v>
      </c>
      <c r="AU78" s="231"/>
      <c r="AV78" s="231">
        <v>0</v>
      </c>
      <c r="AW78" s="231">
        <v>0</v>
      </c>
      <c r="AX78" s="231">
        <v>0</v>
      </c>
      <c r="AY78" s="231">
        <v>0</v>
      </c>
      <c r="AZ78" s="231">
        <v>0</v>
      </c>
      <c r="BA78" s="231">
        <v>0</v>
      </c>
      <c r="BB78" s="231">
        <v>0</v>
      </c>
      <c r="BC78" s="88">
        <f t="shared" si="44"/>
        <v>0</v>
      </c>
      <c r="BD78" s="103"/>
      <c r="BE78" s="288"/>
      <c r="BF78" s="231" t="s">
        <v>8</v>
      </c>
      <c r="BG78" s="231">
        <v>0</v>
      </c>
      <c r="BH78" s="231">
        <v>144000</v>
      </c>
      <c r="BI78" s="231">
        <v>0</v>
      </c>
      <c r="BJ78" s="231"/>
      <c r="BK78" s="231"/>
      <c r="BL78" s="269">
        <f t="shared" si="49"/>
        <v>144000</v>
      </c>
      <c r="BO78" s="232" t="s">
        <v>8</v>
      </c>
    </row>
    <row r="79" spans="1:67" ht="13.5">
      <c r="A79" s="232"/>
      <c r="B79" s="103" t="s">
        <v>9</v>
      </c>
      <c r="C79" s="231">
        <v>0</v>
      </c>
      <c r="D79" s="126">
        <f t="shared" si="45"/>
        <v>442575</v>
      </c>
      <c r="E79" s="126">
        <f t="shared" si="46"/>
        <v>19400</v>
      </c>
      <c r="F79" s="126">
        <f t="shared" si="47"/>
        <v>461975</v>
      </c>
      <c r="G79" s="231"/>
      <c r="H79" s="231"/>
      <c r="I79" s="207">
        <f t="shared" si="40"/>
        <v>461975</v>
      </c>
      <c r="J79" s="103"/>
      <c r="K79" s="103"/>
      <c r="L79" s="231" t="s">
        <v>9</v>
      </c>
      <c r="M79" s="231">
        <v>0</v>
      </c>
      <c r="N79" s="231">
        <v>0</v>
      </c>
      <c r="O79" s="231">
        <v>0</v>
      </c>
      <c r="P79" s="231">
        <v>0</v>
      </c>
      <c r="Q79" s="231">
        <v>0</v>
      </c>
      <c r="R79" s="231">
        <v>0</v>
      </c>
      <c r="S79" s="231">
        <v>382575</v>
      </c>
      <c r="T79" s="231">
        <v>0</v>
      </c>
      <c r="U79" s="231">
        <v>0</v>
      </c>
      <c r="V79" s="231">
        <v>0</v>
      </c>
      <c r="W79" s="231">
        <v>0</v>
      </c>
      <c r="X79" s="249">
        <v>0</v>
      </c>
      <c r="Y79" s="249">
        <v>0</v>
      </c>
      <c r="Z79" s="126">
        <f t="shared" si="41"/>
        <v>60000</v>
      </c>
      <c r="AA79" s="126">
        <f t="shared" si="42"/>
        <v>0</v>
      </c>
      <c r="AB79" s="87">
        <f t="shared" si="48"/>
        <v>442575</v>
      </c>
      <c r="AC79" s="103"/>
      <c r="AD79" s="231" t="s">
        <v>9</v>
      </c>
      <c r="AE79" s="259">
        <v>0</v>
      </c>
      <c r="AF79" s="259">
        <v>0</v>
      </c>
      <c r="AG79" s="259">
        <v>0</v>
      </c>
      <c r="AH79" s="259">
        <v>0</v>
      </c>
      <c r="AI79" s="259">
        <v>0</v>
      </c>
      <c r="AJ79" s="259">
        <v>0</v>
      </c>
      <c r="AK79" s="259">
        <v>0</v>
      </c>
      <c r="AL79" s="259">
        <v>0</v>
      </c>
      <c r="AM79" s="259">
        <v>0</v>
      </c>
      <c r="AN79" s="231">
        <v>60000</v>
      </c>
      <c r="AO79" s="259">
        <v>0</v>
      </c>
      <c r="AP79" s="259">
        <v>0</v>
      </c>
      <c r="AQ79" s="126">
        <f t="shared" si="43"/>
        <v>60000</v>
      </c>
      <c r="AR79" s="103"/>
      <c r="AS79" s="231" t="s">
        <v>9</v>
      </c>
      <c r="AT79" s="231">
        <v>0</v>
      </c>
      <c r="AU79" s="231"/>
      <c r="AV79" s="231">
        <v>0</v>
      </c>
      <c r="AW79" s="231">
        <v>0</v>
      </c>
      <c r="AX79" s="231">
        <v>0</v>
      </c>
      <c r="AY79" s="231">
        <v>0</v>
      </c>
      <c r="AZ79" s="231">
        <v>0</v>
      </c>
      <c r="BA79" s="231">
        <v>0</v>
      </c>
      <c r="BB79" s="231">
        <v>0</v>
      </c>
      <c r="BC79" s="88">
        <f t="shared" si="44"/>
        <v>0</v>
      </c>
      <c r="BD79" s="103"/>
      <c r="BE79" s="288"/>
      <c r="BF79" s="231" t="s">
        <v>9</v>
      </c>
      <c r="BG79" s="231">
        <v>0</v>
      </c>
      <c r="BH79" s="231">
        <v>19400</v>
      </c>
      <c r="BI79" s="231">
        <v>0</v>
      </c>
      <c r="BJ79" s="231"/>
      <c r="BK79" s="231"/>
      <c r="BL79" s="269">
        <f t="shared" si="49"/>
        <v>19400</v>
      </c>
      <c r="BO79" s="232" t="s">
        <v>9</v>
      </c>
    </row>
    <row r="80" spans="1:67" ht="13.5">
      <c r="A80" s="232"/>
      <c r="B80" s="103" t="s">
        <v>10</v>
      </c>
      <c r="C80" s="231">
        <v>0</v>
      </c>
      <c r="D80" s="126">
        <f t="shared" si="45"/>
        <v>161707.53</v>
      </c>
      <c r="E80" s="126">
        <f t="shared" si="46"/>
        <v>151836</v>
      </c>
      <c r="F80" s="126">
        <f t="shared" si="47"/>
        <v>313543.53</v>
      </c>
      <c r="G80" s="231"/>
      <c r="H80" s="231"/>
      <c r="I80" s="207">
        <f t="shared" si="40"/>
        <v>313543.53</v>
      </c>
      <c r="J80" s="103"/>
      <c r="K80" s="103"/>
      <c r="L80" s="231" t="s">
        <v>10</v>
      </c>
      <c r="M80" s="231">
        <v>4914</v>
      </c>
      <c r="N80" s="231">
        <v>0</v>
      </c>
      <c r="O80" s="231">
        <v>0</v>
      </c>
      <c r="P80" s="231">
        <v>0</v>
      </c>
      <c r="Q80" s="231">
        <v>45400</v>
      </c>
      <c r="R80" s="231">
        <v>0</v>
      </c>
      <c r="S80" s="231">
        <v>1797</v>
      </c>
      <c r="T80" s="231">
        <v>0</v>
      </c>
      <c r="U80" s="231">
        <v>0</v>
      </c>
      <c r="V80" s="231">
        <f>656.92+9337.61</f>
        <v>9994.53</v>
      </c>
      <c r="W80" s="249">
        <v>99602</v>
      </c>
      <c r="X80" s="249">
        <v>0</v>
      </c>
      <c r="Y80" s="249">
        <v>0</v>
      </c>
      <c r="Z80" s="126">
        <f t="shared" si="41"/>
        <v>0</v>
      </c>
      <c r="AA80" s="126">
        <f t="shared" si="42"/>
        <v>0</v>
      </c>
      <c r="AB80" s="87">
        <f t="shared" si="48"/>
        <v>161707.53</v>
      </c>
      <c r="AC80" s="103"/>
      <c r="AD80" s="231" t="s">
        <v>10</v>
      </c>
      <c r="AE80" s="259">
        <v>0</v>
      </c>
      <c r="AF80" s="259">
        <v>0</v>
      </c>
      <c r="AG80" s="259">
        <v>0</v>
      </c>
      <c r="AH80" s="259">
        <v>0</v>
      </c>
      <c r="AI80" s="259">
        <v>0</v>
      </c>
      <c r="AJ80" s="259">
        <v>0</v>
      </c>
      <c r="AK80" s="259">
        <v>0</v>
      </c>
      <c r="AL80" s="259">
        <v>0</v>
      </c>
      <c r="AM80" s="259">
        <v>0</v>
      </c>
      <c r="AN80" s="259">
        <v>0</v>
      </c>
      <c r="AO80" s="259">
        <v>0</v>
      </c>
      <c r="AP80" s="259">
        <v>0</v>
      </c>
      <c r="AQ80" s="126">
        <f t="shared" si="43"/>
        <v>0</v>
      </c>
      <c r="AR80" s="103"/>
      <c r="AS80" s="231" t="s">
        <v>10</v>
      </c>
      <c r="AT80" s="231">
        <v>0</v>
      </c>
      <c r="AU80" s="231"/>
      <c r="AV80" s="231">
        <v>0</v>
      </c>
      <c r="AW80" s="231">
        <v>0</v>
      </c>
      <c r="AX80" s="231">
        <v>0</v>
      </c>
      <c r="AY80" s="231">
        <v>0</v>
      </c>
      <c r="AZ80" s="231">
        <v>0</v>
      </c>
      <c r="BA80" s="231">
        <v>0</v>
      </c>
      <c r="BB80" s="231">
        <v>0</v>
      </c>
      <c r="BC80" s="88">
        <f>SUM(AT80:BB80)</f>
        <v>0</v>
      </c>
      <c r="BD80" s="103"/>
      <c r="BE80" s="288"/>
      <c r="BF80" s="231" t="s">
        <v>10</v>
      </c>
      <c r="BG80" s="231">
        <v>0</v>
      </c>
      <c r="BH80" s="231">
        <v>151836</v>
      </c>
      <c r="BI80" s="231">
        <v>0</v>
      </c>
      <c r="BJ80" s="231"/>
      <c r="BK80" s="231"/>
      <c r="BL80" s="269">
        <f t="shared" si="49"/>
        <v>151836</v>
      </c>
      <c r="BO80" s="232" t="s">
        <v>10</v>
      </c>
    </row>
    <row r="81" spans="1:69" s="49" customFormat="1" ht="16.5" customHeight="1" thickBot="1">
      <c r="A81" s="98"/>
      <c r="B81" s="240"/>
      <c r="C81" s="99">
        <f>SUM(C72:C80)</f>
        <v>51077</v>
      </c>
      <c r="D81" s="99">
        <f>SUM(D72:D80)</f>
        <v>3183531.53</v>
      </c>
      <c r="E81" s="99">
        <f>SUM(E72:E80)</f>
        <v>869348</v>
      </c>
      <c r="F81" s="99">
        <f>SUM(C81:E81)</f>
        <v>4103956.53</v>
      </c>
      <c r="G81" s="99">
        <v>0</v>
      </c>
      <c r="H81" s="99">
        <v>0</v>
      </c>
      <c r="I81" s="99">
        <f>SUM(I72:I80)</f>
        <v>4103956.5300000003</v>
      </c>
      <c r="J81" s="72"/>
      <c r="K81" s="72"/>
      <c r="L81" s="243"/>
      <c r="M81" s="99">
        <f aca="true" t="shared" si="50" ref="M81:AB81">SUM(M71:M80)</f>
        <v>6685</v>
      </c>
      <c r="N81" s="99">
        <f t="shared" si="50"/>
        <v>14788</v>
      </c>
      <c r="O81" s="99">
        <f t="shared" si="50"/>
        <v>1244081</v>
      </c>
      <c r="P81" s="99">
        <f t="shared" si="50"/>
        <v>0</v>
      </c>
      <c r="Q81" s="99">
        <f t="shared" si="50"/>
        <v>307097</v>
      </c>
      <c r="R81" s="99">
        <f t="shared" si="50"/>
        <v>333</v>
      </c>
      <c r="S81" s="99">
        <f t="shared" si="50"/>
        <v>508770</v>
      </c>
      <c r="T81" s="99">
        <f t="shared" si="50"/>
        <v>0</v>
      </c>
      <c r="U81" s="99">
        <f t="shared" si="50"/>
        <v>0</v>
      </c>
      <c r="V81" s="99">
        <f t="shared" si="50"/>
        <v>19355.739999999998</v>
      </c>
      <c r="W81" s="99">
        <f t="shared" si="50"/>
        <v>102422</v>
      </c>
      <c r="X81" s="99">
        <f t="shared" si="50"/>
        <v>0</v>
      </c>
      <c r="Y81" s="99">
        <f t="shared" si="50"/>
        <v>0</v>
      </c>
      <c r="Z81" s="99">
        <f t="shared" si="50"/>
        <v>60000</v>
      </c>
      <c r="AA81" s="99">
        <f t="shared" si="50"/>
        <v>0</v>
      </c>
      <c r="AB81" s="99">
        <f t="shared" si="50"/>
        <v>2263531.7399999998</v>
      </c>
      <c r="AC81" s="72"/>
      <c r="AD81" s="243"/>
      <c r="AE81" s="99">
        <f aca="true" t="shared" si="51" ref="AE81:AQ81">SUM(AE72:AE80)</f>
        <v>0</v>
      </c>
      <c r="AF81" s="99">
        <f t="shared" si="51"/>
        <v>0</v>
      </c>
      <c r="AG81" s="99">
        <f t="shared" si="51"/>
        <v>0</v>
      </c>
      <c r="AH81" s="99">
        <f t="shared" si="51"/>
        <v>0</v>
      </c>
      <c r="AI81" s="99">
        <f t="shared" si="51"/>
        <v>0</v>
      </c>
      <c r="AJ81" s="99">
        <f t="shared" si="51"/>
        <v>0</v>
      </c>
      <c r="AK81" s="99">
        <f t="shared" si="51"/>
        <v>0</v>
      </c>
      <c r="AL81" s="99">
        <f t="shared" si="51"/>
        <v>0</v>
      </c>
      <c r="AM81" s="99">
        <f t="shared" si="51"/>
        <v>0</v>
      </c>
      <c r="AN81" s="99">
        <f t="shared" si="51"/>
        <v>60000</v>
      </c>
      <c r="AO81" s="99">
        <f t="shared" si="51"/>
        <v>0</v>
      </c>
      <c r="AP81" s="99">
        <f t="shared" si="51"/>
        <v>0</v>
      </c>
      <c r="AQ81" s="99">
        <f t="shared" si="51"/>
        <v>60000</v>
      </c>
      <c r="AR81" s="72"/>
      <c r="AS81" s="243"/>
      <c r="AT81" s="99">
        <f>SUM(AT72:AT80)</f>
        <v>0</v>
      </c>
      <c r="AU81" s="99"/>
      <c r="AV81" s="99">
        <f aca="true" t="shared" si="52" ref="AV81:BC81">SUM(AV72:AV80)</f>
        <v>0</v>
      </c>
      <c r="AW81" s="99">
        <f t="shared" si="52"/>
        <v>0</v>
      </c>
      <c r="AX81" s="99">
        <f t="shared" si="52"/>
        <v>0</v>
      </c>
      <c r="AY81" s="99">
        <f t="shared" si="52"/>
        <v>0</v>
      </c>
      <c r="AZ81" s="99">
        <f t="shared" si="52"/>
        <v>0</v>
      </c>
      <c r="BA81" s="99">
        <f t="shared" si="52"/>
        <v>0</v>
      </c>
      <c r="BB81" s="99">
        <f t="shared" si="52"/>
        <v>0</v>
      </c>
      <c r="BC81" s="99">
        <f t="shared" si="52"/>
        <v>0</v>
      </c>
      <c r="BD81" s="72"/>
      <c r="BE81" s="127"/>
      <c r="BF81" s="243"/>
      <c r="BG81" s="99">
        <f>SUM(BG72:BG80)</f>
        <v>0</v>
      </c>
      <c r="BH81" s="99">
        <f>SUM(BH72:BH80)</f>
        <v>869348</v>
      </c>
      <c r="BI81" s="99">
        <f>SUM(BI72:BI80)</f>
        <v>0</v>
      </c>
      <c r="BJ81" s="99">
        <f>BJ75</f>
        <v>0</v>
      </c>
      <c r="BK81" s="99">
        <f>SUM(BK78:BK80)</f>
        <v>0</v>
      </c>
      <c r="BL81" s="99">
        <f>SUM(BL78:BL80)</f>
        <v>315236</v>
      </c>
      <c r="BM81" s="80"/>
      <c r="BN81" s="80"/>
      <c r="BO81" s="243"/>
      <c r="BP81" s="99"/>
      <c r="BQ81" s="99"/>
    </row>
    <row r="82" spans="1:67" ht="13.5" thickTop="1">
      <c r="A82" s="232"/>
      <c r="B82" s="198"/>
      <c r="C82" s="239"/>
      <c r="D82" s="239"/>
      <c r="E82" s="239"/>
      <c r="F82" s="239"/>
      <c r="G82" s="239"/>
      <c r="H82" s="239"/>
      <c r="I82" s="239"/>
      <c r="J82" s="103"/>
      <c r="K82" s="103"/>
      <c r="L82" s="244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103"/>
      <c r="AD82" s="244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103"/>
      <c r="AS82" s="244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103"/>
      <c r="BE82" s="288"/>
      <c r="BF82" s="244"/>
      <c r="BG82" s="239"/>
      <c r="BH82" s="239"/>
      <c r="BI82" s="239"/>
      <c r="BJ82" s="239"/>
      <c r="BK82" s="239"/>
      <c r="BL82" s="239"/>
      <c r="BO82" s="247"/>
    </row>
    <row r="83" spans="1:67" ht="12.75">
      <c r="A83" s="232"/>
      <c r="B83" s="227" t="s">
        <v>11</v>
      </c>
      <c r="C83" s="231"/>
      <c r="D83" s="231"/>
      <c r="E83" s="231"/>
      <c r="F83" s="231"/>
      <c r="G83" s="231"/>
      <c r="H83" s="231"/>
      <c r="I83" s="231"/>
      <c r="J83" s="103"/>
      <c r="K83" s="103"/>
      <c r="L83" s="245" t="s">
        <v>11</v>
      </c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103"/>
      <c r="AD83" s="245" t="s">
        <v>11</v>
      </c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103"/>
      <c r="AS83" s="245" t="s">
        <v>11</v>
      </c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103"/>
      <c r="BE83" s="288"/>
      <c r="BF83" s="245" t="s">
        <v>11</v>
      </c>
      <c r="BG83" s="231"/>
      <c r="BH83" s="231"/>
      <c r="BI83" s="231"/>
      <c r="BJ83" s="231"/>
      <c r="BK83" s="231"/>
      <c r="BL83" s="231"/>
      <c r="BO83" s="248" t="s">
        <v>11</v>
      </c>
    </row>
    <row r="84" spans="1:67" ht="13.5">
      <c r="A84" s="232"/>
      <c r="B84" s="198" t="s">
        <v>12</v>
      </c>
      <c r="C84" s="231">
        <v>1564937</v>
      </c>
      <c r="D84" s="126">
        <f aca="true" t="shared" si="53" ref="D84:D89">AB84</f>
        <v>3785594.08</v>
      </c>
      <c r="E84" s="126">
        <f aca="true" t="shared" si="54" ref="E84:E89">BL84</f>
        <v>1002796</v>
      </c>
      <c r="F84" s="126">
        <f>SUM(C84:E84)</f>
        <v>6353327.08</v>
      </c>
      <c r="G84" s="231"/>
      <c r="H84" s="231"/>
      <c r="I84" s="207">
        <f>F84-G84+H84</f>
        <v>6353327.08</v>
      </c>
      <c r="J84" s="261"/>
      <c r="K84" s="103"/>
      <c r="L84" s="244" t="s">
        <v>12</v>
      </c>
      <c r="M84" s="231">
        <v>274906</v>
      </c>
      <c r="N84" s="231">
        <v>39737</v>
      </c>
      <c r="O84" s="231">
        <v>563477</v>
      </c>
      <c r="P84" s="231">
        <v>0</v>
      </c>
      <c r="Q84" s="231">
        <v>0</v>
      </c>
      <c r="R84" s="231">
        <v>620447</v>
      </c>
      <c r="S84" s="88">
        <v>904064</v>
      </c>
      <c r="T84" s="88">
        <f aca="true" t="shared" si="55" ref="T84:U87">AK84</f>
        <v>0</v>
      </c>
      <c r="U84" s="88">
        <f t="shared" si="55"/>
        <v>0</v>
      </c>
      <c r="V84" s="231">
        <f>610897.47+1600+14376.61</f>
        <v>626874.08</v>
      </c>
      <c r="W84" s="231">
        <v>756089</v>
      </c>
      <c r="X84" s="231">
        <v>0</v>
      </c>
      <c r="Y84" s="231">
        <v>0</v>
      </c>
      <c r="Z84" s="88">
        <f>AQ84</f>
        <v>0</v>
      </c>
      <c r="AA84" s="88">
        <f>BC84</f>
        <v>0</v>
      </c>
      <c r="AB84" s="88">
        <f>SUM(M84:AA84)</f>
        <v>3785594.08</v>
      </c>
      <c r="AC84" s="103"/>
      <c r="AD84" s="244" t="s">
        <v>12</v>
      </c>
      <c r="AE84" s="231">
        <v>0</v>
      </c>
      <c r="AF84" s="231">
        <v>0</v>
      </c>
      <c r="AG84" s="231">
        <v>0</v>
      </c>
      <c r="AH84" s="231">
        <v>0</v>
      </c>
      <c r="AI84" s="231">
        <v>0</v>
      </c>
      <c r="AJ84" s="231">
        <v>0</v>
      </c>
      <c r="AK84" s="231">
        <v>0</v>
      </c>
      <c r="AL84" s="231">
        <v>0</v>
      </c>
      <c r="AM84" s="231">
        <v>0</v>
      </c>
      <c r="AN84" s="231">
        <v>0</v>
      </c>
      <c r="AO84" s="231">
        <v>0</v>
      </c>
      <c r="AP84" s="231">
        <v>0</v>
      </c>
      <c r="AQ84" s="126">
        <f>SUM(AE84:AP84)</f>
        <v>0</v>
      </c>
      <c r="AR84" s="103"/>
      <c r="AS84" s="244" t="s">
        <v>12</v>
      </c>
      <c r="AT84" s="231">
        <v>0</v>
      </c>
      <c r="AU84" s="231"/>
      <c r="AV84" s="231">
        <v>0</v>
      </c>
      <c r="AW84" s="231">
        <v>0</v>
      </c>
      <c r="AX84" s="231">
        <v>0</v>
      </c>
      <c r="AY84" s="231">
        <v>0</v>
      </c>
      <c r="AZ84" s="231">
        <v>0</v>
      </c>
      <c r="BA84" s="231">
        <v>0</v>
      </c>
      <c r="BB84" s="231">
        <v>0</v>
      </c>
      <c r="BC84" s="88">
        <f>SUM(AT84:BB84)</f>
        <v>0</v>
      </c>
      <c r="BD84" s="103"/>
      <c r="BE84" s="288"/>
      <c r="BF84" s="244" t="s">
        <v>12</v>
      </c>
      <c r="BG84" s="231">
        <v>0</v>
      </c>
      <c r="BH84" s="231">
        <v>1002796</v>
      </c>
      <c r="BI84" s="231">
        <v>0</v>
      </c>
      <c r="BJ84" s="231"/>
      <c r="BK84" s="231"/>
      <c r="BL84" s="269">
        <f>SUM(BG84:BK84)</f>
        <v>1002796</v>
      </c>
      <c r="BO84" s="247" t="s">
        <v>12</v>
      </c>
    </row>
    <row r="85" spans="1:67" ht="13.5">
      <c r="A85" s="232"/>
      <c r="B85" s="198" t="s">
        <v>13</v>
      </c>
      <c r="C85" s="231">
        <v>1292813</v>
      </c>
      <c r="D85" s="126">
        <f t="shared" si="53"/>
        <v>5887532.500000001</v>
      </c>
      <c r="E85" s="126">
        <f t="shared" si="54"/>
        <v>1086284.5</v>
      </c>
      <c r="F85" s="126">
        <f>SUM(C85:E85)</f>
        <v>8266630.000000001</v>
      </c>
      <c r="G85" s="231"/>
      <c r="H85" s="231"/>
      <c r="I85" s="207">
        <f>F85-G85+H85</f>
        <v>8266630.000000001</v>
      </c>
      <c r="J85" s="261"/>
      <c r="K85" s="103"/>
      <c r="L85" s="244" t="s">
        <v>13</v>
      </c>
      <c r="M85" s="231">
        <f>940532+109</f>
        <v>940641</v>
      </c>
      <c r="N85" s="231">
        <f>388661+2029</f>
        <v>390690</v>
      </c>
      <c r="O85" s="231">
        <v>633803</v>
      </c>
      <c r="P85" s="231">
        <v>106484</v>
      </c>
      <c r="Q85" s="231">
        <v>8413</v>
      </c>
      <c r="R85" s="231">
        <f>279756+645</f>
        <v>280401</v>
      </c>
      <c r="S85" s="88">
        <v>1290934</v>
      </c>
      <c r="T85" s="88">
        <f>14563.2+10</f>
        <v>14573.2</v>
      </c>
      <c r="U85" s="231">
        <v>60</v>
      </c>
      <c r="V85" s="231">
        <f>1074986.5-V84-V86-V87</f>
        <v>326402.35000000003</v>
      </c>
      <c r="W85" s="231">
        <v>1869408</v>
      </c>
      <c r="X85" s="231">
        <v>1000</v>
      </c>
      <c r="Y85" s="231">
        <v>600</v>
      </c>
      <c r="Z85" s="88">
        <f>AQ85</f>
        <v>17729.45</v>
      </c>
      <c r="AA85" s="88">
        <f>BC85</f>
        <v>6393.5</v>
      </c>
      <c r="AB85" s="88">
        <f>SUM(M85:AA85)</f>
        <v>5887532.500000001</v>
      </c>
      <c r="AC85" s="103"/>
      <c r="AD85" s="244" t="s">
        <v>13</v>
      </c>
      <c r="AE85" s="231">
        <v>1823.15</v>
      </c>
      <c r="AF85" s="231">
        <v>30</v>
      </c>
      <c r="AG85" s="231">
        <v>0</v>
      </c>
      <c r="AH85" s="231">
        <v>1000</v>
      </c>
      <c r="AI85" s="231">
        <v>1000</v>
      </c>
      <c r="AJ85" s="231">
        <v>1000</v>
      </c>
      <c r="AK85" s="231">
        <v>2105.75</v>
      </c>
      <c r="AL85" s="231">
        <v>2105.75</v>
      </c>
      <c r="AM85" s="231">
        <v>40</v>
      </c>
      <c r="AN85" s="231">
        <v>5590.8</v>
      </c>
      <c r="AO85" s="231">
        <v>2034</v>
      </c>
      <c r="AP85" s="231">
        <v>1000</v>
      </c>
      <c r="AQ85" s="126">
        <f>SUM(AE85:AP85)</f>
        <v>17729.45</v>
      </c>
      <c r="AR85" s="103"/>
      <c r="AS85" s="244" t="s">
        <v>13</v>
      </c>
      <c r="AT85" s="231">
        <v>1000</v>
      </c>
      <c r="AU85" s="231"/>
      <c r="AV85" s="231">
        <v>1270</v>
      </c>
      <c r="AW85" s="231">
        <v>1270</v>
      </c>
      <c r="AX85" s="231">
        <v>1000</v>
      </c>
      <c r="AY85" s="231">
        <v>70</v>
      </c>
      <c r="AZ85" s="231">
        <v>70</v>
      </c>
      <c r="BA85" s="231">
        <v>0</v>
      </c>
      <c r="BB85" s="231">
        <v>1713.5</v>
      </c>
      <c r="BC85" s="88">
        <f>SUM(AT85:BB85)</f>
        <v>6393.5</v>
      </c>
      <c r="BD85" s="103"/>
      <c r="BE85" s="288"/>
      <c r="BF85" s="244" t="s">
        <v>13</v>
      </c>
      <c r="BG85" s="231">
        <v>3238.5</v>
      </c>
      <c r="BH85" s="231">
        <v>1082006</v>
      </c>
      <c r="BI85" s="231">
        <v>1040</v>
      </c>
      <c r="BJ85" s="231"/>
      <c r="BK85" s="231"/>
      <c r="BL85" s="269">
        <f>SUM(BG85:BK85)</f>
        <v>1086284.5</v>
      </c>
      <c r="BO85" s="247" t="s">
        <v>13</v>
      </c>
    </row>
    <row r="86" spans="1:67" ht="13.5">
      <c r="A86" s="232"/>
      <c r="B86" s="198" t="s">
        <v>14</v>
      </c>
      <c r="C86" s="231">
        <f>38339565+602448.92</f>
        <v>38942013.92</v>
      </c>
      <c r="D86" s="126">
        <f t="shared" si="53"/>
        <v>20573319</v>
      </c>
      <c r="E86" s="126">
        <f t="shared" si="54"/>
        <v>6603042.68</v>
      </c>
      <c r="F86" s="126">
        <f>SUM(C86:E86)</f>
        <v>66118375.6</v>
      </c>
      <c r="G86" s="231"/>
      <c r="H86" s="231"/>
      <c r="I86" s="207">
        <f>F86-G86+H86</f>
        <v>66118375.6</v>
      </c>
      <c r="J86" s="261"/>
      <c r="K86" s="103"/>
      <c r="L86" s="244" t="s">
        <v>14</v>
      </c>
      <c r="M86" s="231"/>
      <c r="N86" s="231"/>
      <c r="O86" s="231">
        <v>4618612</v>
      </c>
      <c r="P86" s="231">
        <v>0</v>
      </c>
      <c r="Q86" s="231">
        <v>1264</v>
      </c>
      <c r="R86" s="231">
        <v>0</v>
      </c>
      <c r="S86" s="88">
        <v>11518775</v>
      </c>
      <c r="T86" s="88">
        <f t="shared" si="55"/>
        <v>0</v>
      </c>
      <c r="U86" s="88">
        <f t="shared" si="55"/>
        <v>0</v>
      </c>
      <c r="V86" s="231">
        <f>8820</f>
        <v>8820</v>
      </c>
      <c r="W86" s="231">
        <v>4425848</v>
      </c>
      <c r="X86" s="231">
        <v>0</v>
      </c>
      <c r="Y86" s="231">
        <v>0</v>
      </c>
      <c r="Z86" s="88">
        <f>AQ86</f>
        <v>0</v>
      </c>
      <c r="AA86" s="88">
        <f>BC86</f>
        <v>0</v>
      </c>
      <c r="AB86" s="88">
        <f>SUM(M86:AA86)</f>
        <v>20573319</v>
      </c>
      <c r="AC86" s="103"/>
      <c r="AD86" s="244" t="s">
        <v>14</v>
      </c>
      <c r="AE86" s="231">
        <v>0</v>
      </c>
      <c r="AF86" s="231">
        <v>0</v>
      </c>
      <c r="AG86" s="231">
        <v>0</v>
      </c>
      <c r="AH86" s="231">
        <v>0</v>
      </c>
      <c r="AI86" s="231">
        <v>0</v>
      </c>
      <c r="AJ86" s="231">
        <v>0</v>
      </c>
      <c r="AK86" s="231">
        <v>0</v>
      </c>
      <c r="AL86" s="231">
        <v>0</v>
      </c>
      <c r="AM86" s="231">
        <v>0</v>
      </c>
      <c r="AN86" s="231">
        <v>0</v>
      </c>
      <c r="AO86" s="231">
        <v>0</v>
      </c>
      <c r="AP86" s="231">
        <v>0</v>
      </c>
      <c r="AQ86" s="126">
        <f>SUM(AE86:AP86)</f>
        <v>0</v>
      </c>
      <c r="AR86" s="103"/>
      <c r="AS86" s="244" t="s">
        <v>14</v>
      </c>
      <c r="AT86" s="231">
        <v>0</v>
      </c>
      <c r="AU86" s="231"/>
      <c r="AV86" s="231">
        <v>0</v>
      </c>
      <c r="AW86" s="231">
        <v>0</v>
      </c>
      <c r="AX86" s="231">
        <v>0</v>
      </c>
      <c r="AY86" s="231">
        <v>0</v>
      </c>
      <c r="AZ86" s="231">
        <v>0</v>
      </c>
      <c r="BA86" s="231">
        <v>0</v>
      </c>
      <c r="BB86" s="231">
        <v>0</v>
      </c>
      <c r="BC86" s="88">
        <f>SUM(AT86:BB86)</f>
        <v>0</v>
      </c>
      <c r="BD86" s="103"/>
      <c r="BE86" s="288"/>
      <c r="BF86" s="244" t="s">
        <v>14</v>
      </c>
      <c r="BG86" s="231">
        <v>339786.56</v>
      </c>
      <c r="BH86" s="231">
        <v>661952</v>
      </c>
      <c r="BI86" s="231">
        <v>5601304.12</v>
      </c>
      <c r="BJ86" s="231"/>
      <c r="BK86" s="231"/>
      <c r="BL86" s="269">
        <f>SUM(BG86:BK86)</f>
        <v>6603042.68</v>
      </c>
      <c r="BO86" s="247" t="s">
        <v>14</v>
      </c>
    </row>
    <row r="87" spans="1:67" ht="13.5">
      <c r="A87" s="232"/>
      <c r="B87" s="198" t="s">
        <v>424</v>
      </c>
      <c r="C87" s="231">
        <v>457109</v>
      </c>
      <c r="D87" s="126">
        <f t="shared" si="53"/>
        <v>1267843.31</v>
      </c>
      <c r="E87" s="126">
        <f t="shared" si="54"/>
        <v>472898</v>
      </c>
      <c r="F87" s="126">
        <f>SUM(C87:E87)</f>
        <v>2197850.31</v>
      </c>
      <c r="G87" s="231"/>
      <c r="H87" s="231"/>
      <c r="I87" s="207">
        <f>F87-G87+H87</f>
        <v>2197850.31</v>
      </c>
      <c r="J87" s="261"/>
      <c r="K87" s="103"/>
      <c r="L87" s="244" t="s">
        <v>424</v>
      </c>
      <c r="M87" s="231">
        <v>9759</v>
      </c>
      <c r="N87" s="231">
        <v>50600</v>
      </c>
      <c r="O87" s="231">
        <v>177296</v>
      </c>
      <c r="P87" s="231">
        <v>107863</v>
      </c>
      <c r="Q87" s="231">
        <v>540</v>
      </c>
      <c r="R87" s="231">
        <v>34369</v>
      </c>
      <c r="S87" s="88">
        <v>188890</v>
      </c>
      <c r="T87" s="88">
        <f t="shared" si="55"/>
        <v>0</v>
      </c>
      <c r="U87" s="88">
        <f t="shared" si="55"/>
        <v>0</v>
      </c>
      <c r="V87" s="231">
        <v>112890.07</v>
      </c>
      <c r="W87" s="231">
        <v>577702</v>
      </c>
      <c r="X87" s="231">
        <v>689</v>
      </c>
      <c r="Y87" s="231">
        <v>0</v>
      </c>
      <c r="Z87" s="88">
        <f>AQ87</f>
        <v>7245.24</v>
      </c>
      <c r="AA87" s="88">
        <f>BC87</f>
        <v>0</v>
      </c>
      <c r="AB87" s="88">
        <f>SUM(M87:AA87)</f>
        <v>1267843.31</v>
      </c>
      <c r="AC87" s="103"/>
      <c r="AD87" s="244" t="s">
        <v>424</v>
      </c>
      <c r="AE87" s="231">
        <v>0</v>
      </c>
      <c r="AF87" s="231">
        <v>0</v>
      </c>
      <c r="AG87" s="231">
        <v>0</v>
      </c>
      <c r="AH87" s="231">
        <v>0</v>
      </c>
      <c r="AI87" s="231">
        <v>0</v>
      </c>
      <c r="AJ87" s="231">
        <v>0</v>
      </c>
      <c r="AK87" s="231">
        <v>0</v>
      </c>
      <c r="AL87" s="231">
        <v>0</v>
      </c>
      <c r="AM87" s="231">
        <v>7245.24</v>
      </c>
      <c r="AN87" s="231">
        <v>0</v>
      </c>
      <c r="AO87" s="231">
        <v>0</v>
      </c>
      <c r="AP87" s="231">
        <v>0</v>
      </c>
      <c r="AQ87" s="126">
        <f>SUM(AE87:AP87)</f>
        <v>7245.24</v>
      </c>
      <c r="AR87" s="103"/>
      <c r="AS87" s="244" t="s">
        <v>424</v>
      </c>
      <c r="AT87" s="231">
        <v>0</v>
      </c>
      <c r="AU87" s="231"/>
      <c r="AV87" s="231">
        <v>0</v>
      </c>
      <c r="AW87" s="231">
        <v>0</v>
      </c>
      <c r="AX87" s="231">
        <v>0</v>
      </c>
      <c r="AY87" s="231">
        <v>0</v>
      </c>
      <c r="AZ87" s="231">
        <v>0</v>
      </c>
      <c r="BA87" s="231">
        <v>0</v>
      </c>
      <c r="BB87" s="231">
        <v>0</v>
      </c>
      <c r="BC87" s="88">
        <f>SUM(AT87:BB87)</f>
        <v>0</v>
      </c>
      <c r="BD87" s="103"/>
      <c r="BE87" s="288"/>
      <c r="BF87" s="244" t="s">
        <v>424</v>
      </c>
      <c r="BG87" s="231">
        <v>0</v>
      </c>
      <c r="BH87" s="231">
        <v>472898</v>
      </c>
      <c r="BI87" s="231">
        <v>0</v>
      </c>
      <c r="BJ87" s="231"/>
      <c r="BK87" s="231"/>
      <c r="BL87" s="269">
        <f>SUM(BG87:BK87)</f>
        <v>472898</v>
      </c>
      <c r="BO87" s="247" t="s">
        <v>424</v>
      </c>
    </row>
    <row r="88" spans="1:67" ht="13.5">
      <c r="A88" s="232"/>
      <c r="B88" s="198" t="s">
        <v>15</v>
      </c>
      <c r="C88" s="231">
        <v>0</v>
      </c>
      <c r="D88" s="126">
        <f t="shared" si="53"/>
        <v>8952</v>
      </c>
      <c r="E88" s="126">
        <f t="shared" si="54"/>
        <v>0</v>
      </c>
      <c r="F88" s="126">
        <f>SUM(C88:E88)</f>
        <v>8952</v>
      </c>
      <c r="G88" s="231"/>
      <c r="H88" s="231"/>
      <c r="I88" s="207">
        <f>F88-G88+H88</f>
        <v>8952</v>
      </c>
      <c r="J88" s="261"/>
      <c r="K88" s="103"/>
      <c r="L88" s="244" t="s">
        <v>15</v>
      </c>
      <c r="M88" s="233"/>
      <c r="N88" s="233">
        <v>0</v>
      </c>
      <c r="O88" s="88">
        <f aca="true" t="shared" si="56" ref="O88:Y88">AF88</f>
        <v>0</v>
      </c>
      <c r="P88" s="88">
        <v>3084</v>
      </c>
      <c r="Q88" s="88">
        <f t="shared" si="56"/>
        <v>0</v>
      </c>
      <c r="R88" s="88">
        <f t="shared" si="56"/>
        <v>0</v>
      </c>
      <c r="S88" s="88">
        <f t="shared" si="56"/>
        <v>0</v>
      </c>
      <c r="T88" s="88">
        <f t="shared" si="56"/>
        <v>0</v>
      </c>
      <c r="U88" s="88">
        <f t="shared" si="56"/>
        <v>0</v>
      </c>
      <c r="V88" s="88">
        <f t="shared" si="56"/>
        <v>0</v>
      </c>
      <c r="W88" s="88">
        <v>5868</v>
      </c>
      <c r="X88" s="88">
        <f t="shared" si="56"/>
        <v>0</v>
      </c>
      <c r="Y88" s="88">
        <f t="shared" si="56"/>
        <v>0</v>
      </c>
      <c r="Z88" s="88">
        <f>AQ88</f>
        <v>0</v>
      </c>
      <c r="AA88" s="88">
        <f>BC88</f>
        <v>0</v>
      </c>
      <c r="AB88" s="88">
        <f>SUM(M88:AA88)</f>
        <v>8952</v>
      </c>
      <c r="AC88" s="103"/>
      <c r="AD88" s="244" t="s">
        <v>15</v>
      </c>
      <c r="AE88" s="231">
        <v>0</v>
      </c>
      <c r="AF88" s="231">
        <v>0</v>
      </c>
      <c r="AG88" s="231">
        <v>0</v>
      </c>
      <c r="AH88" s="231">
        <v>0</v>
      </c>
      <c r="AI88" s="231">
        <v>0</v>
      </c>
      <c r="AJ88" s="231">
        <v>0</v>
      </c>
      <c r="AK88" s="231">
        <v>0</v>
      </c>
      <c r="AL88" s="231">
        <v>0</v>
      </c>
      <c r="AM88" s="231">
        <v>0</v>
      </c>
      <c r="AN88" s="231">
        <v>0</v>
      </c>
      <c r="AO88" s="231">
        <v>0</v>
      </c>
      <c r="AP88" s="231">
        <v>0</v>
      </c>
      <c r="AQ88" s="126">
        <f>SUM(AE88:AP88)</f>
        <v>0</v>
      </c>
      <c r="AR88" s="103"/>
      <c r="AS88" s="244" t="s">
        <v>15</v>
      </c>
      <c r="AT88" s="231">
        <v>0</v>
      </c>
      <c r="AU88" s="231"/>
      <c r="AV88" s="231">
        <v>0</v>
      </c>
      <c r="AW88" s="231">
        <v>0</v>
      </c>
      <c r="AX88" s="231">
        <v>0</v>
      </c>
      <c r="AY88" s="231">
        <v>0</v>
      </c>
      <c r="AZ88" s="231">
        <v>0</v>
      </c>
      <c r="BA88" s="231">
        <v>0</v>
      </c>
      <c r="BB88" s="231">
        <v>0</v>
      </c>
      <c r="BC88" s="88">
        <f>SUM(AT88:BB88)</f>
        <v>0</v>
      </c>
      <c r="BD88" s="103"/>
      <c r="BE88" s="288"/>
      <c r="BF88" s="244" t="s">
        <v>15</v>
      </c>
      <c r="BG88" s="231">
        <v>0</v>
      </c>
      <c r="BH88" s="231">
        <v>0</v>
      </c>
      <c r="BI88" s="231">
        <v>0</v>
      </c>
      <c r="BJ88" s="231"/>
      <c r="BK88" s="231"/>
      <c r="BL88" s="269">
        <f>SUM(BG88:BK88)</f>
        <v>0</v>
      </c>
      <c r="BO88" s="247" t="s">
        <v>15</v>
      </c>
    </row>
    <row r="89" spans="1:69" s="49" customFormat="1" ht="16.5" customHeight="1" thickBot="1">
      <c r="A89" s="98"/>
      <c r="B89" s="240"/>
      <c r="C89" s="99">
        <f>SUM(C84:C88)</f>
        <v>42256872.92</v>
      </c>
      <c r="D89" s="99">
        <f t="shared" si="53"/>
        <v>27737646.81</v>
      </c>
      <c r="E89" s="99">
        <f t="shared" si="54"/>
        <v>7075940.68</v>
      </c>
      <c r="F89" s="99">
        <f>SUM(F84:F88)</f>
        <v>82945134.99000001</v>
      </c>
      <c r="G89" s="99">
        <v>0</v>
      </c>
      <c r="H89" s="99">
        <v>0</v>
      </c>
      <c r="I89" s="99">
        <f>SUM(I84:I88)</f>
        <v>82945134.99000001</v>
      </c>
      <c r="J89" s="413"/>
      <c r="K89" s="72"/>
      <c r="L89" s="79"/>
      <c r="M89" s="99">
        <f>SUM(M84:M88)</f>
        <v>1225306</v>
      </c>
      <c r="N89" s="99">
        <f aca="true" t="shared" si="57" ref="N89:Y89">SUM(N84:N88)</f>
        <v>481027</v>
      </c>
      <c r="O89" s="99">
        <f t="shared" si="57"/>
        <v>5993188</v>
      </c>
      <c r="P89" s="99">
        <f t="shared" si="57"/>
        <v>217431</v>
      </c>
      <c r="Q89" s="99">
        <f t="shared" si="57"/>
        <v>10217</v>
      </c>
      <c r="R89" s="99">
        <f t="shared" si="57"/>
        <v>935217</v>
      </c>
      <c r="S89" s="99">
        <f t="shared" si="57"/>
        <v>13902663</v>
      </c>
      <c r="T89" s="99">
        <f t="shared" si="57"/>
        <v>14573.2</v>
      </c>
      <c r="U89" s="99">
        <f t="shared" si="57"/>
        <v>60</v>
      </c>
      <c r="V89" s="99">
        <f t="shared" si="57"/>
        <v>1074986.5</v>
      </c>
      <c r="W89" s="255">
        <f t="shared" si="57"/>
        <v>7634915</v>
      </c>
      <c r="X89" s="255">
        <f t="shared" si="57"/>
        <v>1689</v>
      </c>
      <c r="Y89" s="255">
        <f t="shared" si="57"/>
        <v>600</v>
      </c>
      <c r="Z89" s="99">
        <f>SUM(Z85:Z88)</f>
        <v>24974.690000000002</v>
      </c>
      <c r="AA89" s="100">
        <f>SUM(AA85:AA88)</f>
        <v>6393.5</v>
      </c>
      <c r="AB89" s="100">
        <f>SUM(AB85:AB88)</f>
        <v>27737646.81</v>
      </c>
      <c r="AC89" s="72"/>
      <c r="AD89" s="79"/>
      <c r="AE89" s="255">
        <f>SUM(AE84:AE88)</f>
        <v>1823.15</v>
      </c>
      <c r="AF89" s="255">
        <f>SUM(AF84:AF88)</f>
        <v>30</v>
      </c>
      <c r="AG89" s="255">
        <f aca="true" t="shared" si="58" ref="AG89:AL89">SUM(AG84:AG88)</f>
        <v>0</v>
      </c>
      <c r="AH89" s="255">
        <f t="shared" si="58"/>
        <v>1000</v>
      </c>
      <c r="AI89" s="255">
        <f t="shared" si="58"/>
        <v>1000</v>
      </c>
      <c r="AJ89" s="255">
        <f t="shared" si="58"/>
        <v>1000</v>
      </c>
      <c r="AK89" s="255">
        <f t="shared" si="58"/>
        <v>2105.75</v>
      </c>
      <c r="AL89" s="255">
        <f t="shared" si="58"/>
        <v>2105.75</v>
      </c>
      <c r="AM89" s="99">
        <f>SUM(AM84:AM88)</f>
        <v>7285.24</v>
      </c>
      <c r="AN89" s="99">
        <f>SUM(AN84:AN88)</f>
        <v>5590.8</v>
      </c>
      <c r="AO89" s="99">
        <f>SUM(AO84:AO88)</f>
        <v>2034</v>
      </c>
      <c r="AP89" s="99">
        <f>SUM(AP84:AP88)</f>
        <v>1000</v>
      </c>
      <c r="AQ89" s="256">
        <f>SUM(AQ84:AQ88)</f>
        <v>24974.690000000002</v>
      </c>
      <c r="AR89" s="72"/>
      <c r="AS89" s="79"/>
      <c r="AT89" s="99">
        <f aca="true" t="shared" si="59" ref="AT89:BC89">SUM(AT84:AT88)</f>
        <v>1000</v>
      </c>
      <c r="AU89" s="99"/>
      <c r="AV89" s="99">
        <f t="shared" si="59"/>
        <v>1270</v>
      </c>
      <c r="AW89" s="99">
        <f t="shared" si="59"/>
        <v>1270</v>
      </c>
      <c r="AX89" s="99">
        <f t="shared" si="59"/>
        <v>1000</v>
      </c>
      <c r="AY89" s="99">
        <f t="shared" si="59"/>
        <v>70</v>
      </c>
      <c r="AZ89" s="99">
        <f t="shared" si="59"/>
        <v>70</v>
      </c>
      <c r="BA89" s="99">
        <f t="shared" si="59"/>
        <v>0</v>
      </c>
      <c r="BB89" s="99">
        <f t="shared" si="59"/>
        <v>1713.5</v>
      </c>
      <c r="BC89" s="99">
        <f t="shared" si="59"/>
        <v>6393.5</v>
      </c>
      <c r="BD89" s="72"/>
      <c r="BE89" s="127"/>
      <c r="BF89" s="79"/>
      <c r="BG89" s="255">
        <f>SUM(BG84:BG88)</f>
        <v>343025.06</v>
      </c>
      <c r="BH89" s="255">
        <f>SUM(BH84:BH88)</f>
        <v>3219652</v>
      </c>
      <c r="BI89" s="255">
        <f>SUM(BI84:BI88)</f>
        <v>5602344.12</v>
      </c>
      <c r="BJ89" s="99">
        <f>BJ83</f>
        <v>0</v>
      </c>
      <c r="BK89" s="99">
        <f>SUM(BK86:BK88)</f>
        <v>0</v>
      </c>
      <c r="BL89" s="255">
        <f>SUM(BL86:BL88)</f>
        <v>7075940.68</v>
      </c>
      <c r="BM89" s="80"/>
      <c r="BN89" s="80"/>
      <c r="BO89" s="98"/>
      <c r="BP89" s="99"/>
      <c r="BQ89" s="99"/>
    </row>
    <row r="90" spans="1:69" s="49" customFormat="1" ht="16.5" customHeight="1" thickTop="1">
      <c r="A90" s="84"/>
      <c r="B90" s="95"/>
      <c r="C90" s="80"/>
      <c r="D90" s="80"/>
      <c r="E90" s="80"/>
      <c r="F90" s="80"/>
      <c r="G90" s="80"/>
      <c r="H90" s="80"/>
      <c r="I90" s="80"/>
      <c r="J90" s="261"/>
      <c r="K90" s="72"/>
      <c r="L90" s="84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211"/>
      <c r="X90" s="211"/>
      <c r="Y90" s="211"/>
      <c r="Z90" s="80"/>
      <c r="AA90" s="80"/>
      <c r="AB90" s="80"/>
      <c r="AC90" s="72"/>
      <c r="AD90" s="84"/>
      <c r="AE90" s="211"/>
      <c r="AF90" s="211"/>
      <c r="AG90" s="211"/>
      <c r="AH90" s="211"/>
      <c r="AI90" s="211"/>
      <c r="AJ90" s="211"/>
      <c r="AK90" s="211"/>
      <c r="AL90" s="211"/>
      <c r="AM90" s="80"/>
      <c r="AN90" s="80"/>
      <c r="AO90" s="80"/>
      <c r="AP90" s="80"/>
      <c r="AQ90" s="280"/>
      <c r="AR90" s="72"/>
      <c r="AS90" s="84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72"/>
      <c r="BE90" s="127"/>
      <c r="BF90" s="84"/>
      <c r="BG90" s="211"/>
      <c r="BH90" s="211"/>
      <c r="BI90" s="211"/>
      <c r="BJ90" s="80"/>
      <c r="BK90" s="80"/>
      <c r="BL90" s="211"/>
      <c r="BM90" s="80"/>
      <c r="BN90" s="80"/>
      <c r="BO90" s="84"/>
      <c r="BP90" s="80"/>
      <c r="BQ90" s="80"/>
    </row>
    <row r="91" spans="1:69" s="49" customFormat="1" ht="16.5" customHeight="1">
      <c r="A91" s="84"/>
      <c r="B91" s="95"/>
      <c r="C91" s="80"/>
      <c r="D91" s="80"/>
      <c r="E91" s="80"/>
      <c r="F91" s="80"/>
      <c r="G91" s="80"/>
      <c r="H91" s="80"/>
      <c r="I91" s="80"/>
      <c r="J91" s="261"/>
      <c r="K91" s="72"/>
      <c r="L91" s="84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211"/>
      <c r="X91" s="211"/>
      <c r="Y91" s="211"/>
      <c r="Z91" s="80"/>
      <c r="AA91" s="80"/>
      <c r="AB91" s="80"/>
      <c r="AC91" s="72"/>
      <c r="AD91" s="84"/>
      <c r="AE91" s="211"/>
      <c r="AF91" s="211"/>
      <c r="AG91" s="211"/>
      <c r="AH91" s="211"/>
      <c r="AI91" s="211"/>
      <c r="AJ91" s="211"/>
      <c r="AK91" s="211"/>
      <c r="AL91" s="211"/>
      <c r="AM91" s="80"/>
      <c r="AN91" s="80"/>
      <c r="AO91" s="80"/>
      <c r="AP91" s="80"/>
      <c r="AQ91" s="280"/>
      <c r="AR91" s="72"/>
      <c r="AS91" s="84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72"/>
      <c r="BE91" s="127"/>
      <c r="BF91" s="84"/>
      <c r="BG91" s="211"/>
      <c r="BH91" s="211"/>
      <c r="BI91" s="211"/>
      <c r="BJ91" s="80"/>
      <c r="BK91" s="80"/>
      <c r="BL91" s="211"/>
      <c r="BM91" s="80"/>
      <c r="BN91" s="80"/>
      <c r="BO91" s="84"/>
      <c r="BP91" s="80"/>
      <c r="BQ91" s="80"/>
    </row>
    <row r="92" spans="1:69" s="49" customFormat="1" ht="16.5" customHeight="1">
      <c r="A92" s="84"/>
      <c r="B92" s="95"/>
      <c r="C92" s="80"/>
      <c r="D92" s="80"/>
      <c r="E92" s="80"/>
      <c r="F92" s="80"/>
      <c r="G92" s="80"/>
      <c r="H92" s="80"/>
      <c r="I92" s="80"/>
      <c r="J92" s="261"/>
      <c r="K92" s="72"/>
      <c r="L92" s="84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211"/>
      <c r="X92" s="211"/>
      <c r="Y92" s="211"/>
      <c r="Z92" s="80"/>
      <c r="AA92" s="80"/>
      <c r="AB92" s="80"/>
      <c r="AC92" s="72"/>
      <c r="AD92" s="84"/>
      <c r="AE92" s="211"/>
      <c r="AF92" s="211"/>
      <c r="AG92" s="211"/>
      <c r="AH92" s="211"/>
      <c r="AI92" s="211"/>
      <c r="AJ92" s="211"/>
      <c r="AK92" s="211"/>
      <c r="AL92" s="211"/>
      <c r="AM92" s="80"/>
      <c r="AN92" s="80"/>
      <c r="AO92" s="80"/>
      <c r="AP92" s="80"/>
      <c r="AQ92" s="280"/>
      <c r="AR92" s="72"/>
      <c r="AS92" s="84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72"/>
      <c r="BE92" s="127"/>
      <c r="BF92" s="84"/>
      <c r="BG92" s="211"/>
      <c r="BH92" s="211"/>
      <c r="BI92" s="211"/>
      <c r="BJ92" s="80"/>
      <c r="BK92" s="80"/>
      <c r="BL92" s="211"/>
      <c r="BM92" s="80"/>
      <c r="BN92" s="80"/>
      <c r="BO92" s="84"/>
      <c r="BP92" s="80"/>
      <c r="BQ92" s="80"/>
    </row>
    <row r="93" spans="1:69" s="49" customFormat="1" ht="16.5" customHeight="1">
      <c r="A93" s="84"/>
      <c r="B93" s="95"/>
      <c r="C93" s="80"/>
      <c r="D93" s="80"/>
      <c r="E93" s="80"/>
      <c r="F93" s="80"/>
      <c r="G93" s="80"/>
      <c r="H93" s="80"/>
      <c r="I93" s="80"/>
      <c r="J93" s="261"/>
      <c r="K93" s="72"/>
      <c r="L93" s="84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211"/>
      <c r="X93" s="211"/>
      <c r="Y93" s="211"/>
      <c r="Z93" s="80"/>
      <c r="AA93" s="80"/>
      <c r="AB93" s="80"/>
      <c r="AC93" s="72"/>
      <c r="AD93" s="84"/>
      <c r="AE93" s="211"/>
      <c r="AF93" s="211"/>
      <c r="AG93" s="211"/>
      <c r="AH93" s="211"/>
      <c r="AI93" s="211"/>
      <c r="AJ93" s="211"/>
      <c r="AK93" s="211"/>
      <c r="AL93" s="211"/>
      <c r="AM93" s="80"/>
      <c r="AN93" s="80"/>
      <c r="AO93" s="80"/>
      <c r="AP93" s="80"/>
      <c r="AQ93" s="280"/>
      <c r="AR93" s="72"/>
      <c r="AS93" s="84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72"/>
      <c r="BE93" s="127"/>
      <c r="BF93" s="84"/>
      <c r="BG93" s="211"/>
      <c r="BH93" s="211"/>
      <c r="BI93" s="211"/>
      <c r="BJ93" s="80"/>
      <c r="BK93" s="80"/>
      <c r="BL93" s="211"/>
      <c r="BM93" s="80"/>
      <c r="BN93" s="80"/>
      <c r="BO93" s="84"/>
      <c r="BP93" s="80"/>
      <c r="BQ93" s="80"/>
    </row>
    <row r="94" spans="1:69" s="49" customFormat="1" ht="16.5" customHeight="1">
      <c r="A94" s="84"/>
      <c r="B94" s="95"/>
      <c r="C94" s="80"/>
      <c r="D94" s="80"/>
      <c r="E94" s="80"/>
      <c r="F94" s="80"/>
      <c r="G94" s="80"/>
      <c r="H94" s="80"/>
      <c r="I94" s="80"/>
      <c r="J94" s="261"/>
      <c r="K94" s="72"/>
      <c r="L94" s="84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211"/>
      <c r="X94" s="211"/>
      <c r="Y94" s="211"/>
      <c r="Z94" s="80"/>
      <c r="AA94" s="80"/>
      <c r="AB94" s="80"/>
      <c r="AC94" s="72"/>
      <c r="AD94" s="84"/>
      <c r="AE94" s="211"/>
      <c r="AF94" s="211"/>
      <c r="AG94" s="211"/>
      <c r="AH94" s="211"/>
      <c r="AI94" s="211"/>
      <c r="AJ94" s="211"/>
      <c r="AK94" s="211"/>
      <c r="AL94" s="211"/>
      <c r="AM94" s="80"/>
      <c r="AN94" s="80"/>
      <c r="AO94" s="80"/>
      <c r="AP94" s="80"/>
      <c r="AQ94" s="280"/>
      <c r="AR94" s="72"/>
      <c r="AS94" s="84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72"/>
      <c r="BE94" s="127"/>
      <c r="BF94" s="84"/>
      <c r="BG94" s="211"/>
      <c r="BH94" s="211"/>
      <c r="BI94" s="211"/>
      <c r="BJ94" s="80"/>
      <c r="BK94" s="80"/>
      <c r="BL94" s="211"/>
      <c r="BM94" s="80"/>
      <c r="BN94" s="80"/>
      <c r="BO94" s="84"/>
      <c r="BP94" s="80"/>
      <c r="BQ94" s="80"/>
    </row>
    <row r="95" spans="1:64" ht="12.75">
      <c r="A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288"/>
      <c r="BF95" s="103"/>
      <c r="BG95" s="103"/>
      <c r="BH95" s="103"/>
      <c r="BI95" s="103"/>
      <c r="BJ95" s="103"/>
      <c r="BK95" s="103"/>
      <c r="BL95" s="103"/>
    </row>
    <row r="96" spans="1:64" ht="12.75">
      <c r="A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288"/>
      <c r="BF96" s="103"/>
      <c r="BG96" s="103"/>
      <c r="BH96" s="103"/>
      <c r="BI96" s="103"/>
      <c r="BJ96" s="103"/>
      <c r="BK96" s="103"/>
      <c r="BL96" s="103"/>
    </row>
    <row r="97" spans="1:64" ht="12.75">
      <c r="A97" s="227" t="s">
        <v>420</v>
      </c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288"/>
      <c r="BF97" s="103"/>
      <c r="BG97" s="103"/>
      <c r="BH97" s="103"/>
      <c r="BI97" s="103"/>
      <c r="BJ97" s="103"/>
      <c r="BK97" s="103"/>
      <c r="BL97" s="103"/>
    </row>
    <row r="98" spans="1:69" s="49" customFormat="1" ht="15.75" customHeight="1">
      <c r="A98" s="51"/>
      <c r="B98" s="224"/>
      <c r="C98" s="52" t="s">
        <v>21</v>
      </c>
      <c r="D98" s="53" t="s">
        <v>334</v>
      </c>
      <c r="E98" s="54"/>
      <c r="F98" s="55"/>
      <c r="G98" s="55"/>
      <c r="H98" s="55"/>
      <c r="I98" s="56"/>
      <c r="J98" s="57"/>
      <c r="K98" s="57"/>
      <c r="L98" s="51"/>
      <c r="M98" s="52" t="s">
        <v>335</v>
      </c>
      <c r="N98" s="52" t="s">
        <v>335</v>
      </c>
      <c r="O98" s="59" t="s">
        <v>337</v>
      </c>
      <c r="P98" s="59" t="s">
        <v>337</v>
      </c>
      <c r="Q98" s="159" t="s">
        <v>338</v>
      </c>
      <c r="R98" s="59" t="s">
        <v>338</v>
      </c>
      <c r="S98" s="59" t="s">
        <v>336</v>
      </c>
      <c r="T98" s="59" t="s">
        <v>345</v>
      </c>
      <c r="U98" s="59" t="s">
        <v>352</v>
      </c>
      <c r="V98" s="59" t="s">
        <v>341</v>
      </c>
      <c r="W98" s="59" t="s">
        <v>340</v>
      </c>
      <c r="X98" s="159" t="s">
        <v>350</v>
      </c>
      <c r="Y98" s="59" t="s">
        <v>339</v>
      </c>
      <c r="Z98" s="59" t="s">
        <v>342</v>
      </c>
      <c r="AA98" s="59" t="s">
        <v>342</v>
      </c>
      <c r="AB98" s="59"/>
      <c r="AC98" s="57"/>
      <c r="AD98" s="51"/>
      <c r="AE98" s="52" t="s">
        <v>343</v>
      </c>
      <c r="AF98" s="52" t="s">
        <v>344</v>
      </c>
      <c r="AG98" s="52" t="s">
        <v>344</v>
      </c>
      <c r="AH98" s="52" t="s">
        <v>344</v>
      </c>
      <c r="AI98" s="52" t="s">
        <v>344</v>
      </c>
      <c r="AJ98" s="52" t="s">
        <v>344</v>
      </c>
      <c r="AK98" s="52" t="s">
        <v>344</v>
      </c>
      <c r="AL98" s="52" t="s">
        <v>344</v>
      </c>
      <c r="AM98" s="59" t="s">
        <v>335</v>
      </c>
      <c r="AN98" s="59" t="s">
        <v>346</v>
      </c>
      <c r="AO98" s="59" t="s">
        <v>347</v>
      </c>
      <c r="AP98" s="59" t="s">
        <v>348</v>
      </c>
      <c r="AQ98" s="59"/>
      <c r="AR98" s="57"/>
      <c r="AS98" s="51"/>
      <c r="AT98" s="60" t="s">
        <v>349</v>
      </c>
      <c r="AU98" s="59"/>
      <c r="AV98" s="59" t="s">
        <v>350</v>
      </c>
      <c r="AW98" s="59" t="s">
        <v>350</v>
      </c>
      <c r="AX98" s="59" t="s">
        <v>351</v>
      </c>
      <c r="AY98" s="59" t="s">
        <v>338</v>
      </c>
      <c r="AZ98" s="59" t="s">
        <v>338</v>
      </c>
      <c r="BA98" s="59" t="s">
        <v>338</v>
      </c>
      <c r="BB98" s="59" t="s">
        <v>353</v>
      </c>
      <c r="BC98" s="59"/>
      <c r="BD98" s="57"/>
      <c r="BE98" s="286"/>
      <c r="BF98" s="51"/>
      <c r="BG98" s="159" t="s">
        <v>291</v>
      </c>
      <c r="BH98" s="59" t="s">
        <v>354</v>
      </c>
      <c r="BI98" s="59" t="s">
        <v>422</v>
      </c>
      <c r="BJ98" s="61"/>
      <c r="BK98" s="59"/>
      <c r="BL98" s="59"/>
      <c r="BM98" s="62"/>
      <c r="BN98" s="62"/>
      <c r="BO98" s="51"/>
      <c r="BP98" s="52" t="s">
        <v>453</v>
      </c>
      <c r="BQ98" s="52" t="s">
        <v>453</v>
      </c>
    </row>
    <row r="99" spans="1:69" s="49" customFormat="1" ht="16.5" customHeight="1">
      <c r="A99" s="226" t="s">
        <v>432</v>
      </c>
      <c r="B99" s="257"/>
      <c r="C99" s="64" t="s">
        <v>22</v>
      </c>
      <c r="D99" s="65" t="s">
        <v>356</v>
      </c>
      <c r="E99" s="65" t="s">
        <v>357</v>
      </c>
      <c r="F99" s="65" t="s">
        <v>372</v>
      </c>
      <c r="G99" s="65" t="s">
        <v>359</v>
      </c>
      <c r="H99" s="65" t="s">
        <v>360</v>
      </c>
      <c r="I99" s="64" t="s">
        <v>361</v>
      </c>
      <c r="J99" s="57"/>
      <c r="K99" s="57"/>
      <c r="L99" s="63" t="s">
        <v>432</v>
      </c>
      <c r="M99" s="64" t="s">
        <v>362</v>
      </c>
      <c r="N99" s="64" t="s">
        <v>363</v>
      </c>
      <c r="O99" s="65" t="s">
        <v>370</v>
      </c>
      <c r="P99" s="65" t="s">
        <v>366</v>
      </c>
      <c r="Q99" s="160" t="s">
        <v>421</v>
      </c>
      <c r="R99" s="65" t="s">
        <v>367</v>
      </c>
      <c r="S99" s="65" t="s">
        <v>364</v>
      </c>
      <c r="T99" s="65" t="s">
        <v>380</v>
      </c>
      <c r="U99" s="65" t="s">
        <v>363</v>
      </c>
      <c r="V99" s="65" t="s">
        <v>371</v>
      </c>
      <c r="W99" s="65" t="s">
        <v>369</v>
      </c>
      <c r="X99" s="160" t="s">
        <v>385</v>
      </c>
      <c r="Y99" s="65" t="s">
        <v>368</v>
      </c>
      <c r="Z99" s="65" t="s">
        <v>20</v>
      </c>
      <c r="AA99" s="65" t="s">
        <v>19</v>
      </c>
      <c r="AB99" s="65" t="s">
        <v>372</v>
      </c>
      <c r="AC99" s="66"/>
      <c r="AD99" s="63" t="s">
        <v>432</v>
      </c>
      <c r="AE99" s="64"/>
      <c r="AF99" s="64" t="s">
        <v>373</v>
      </c>
      <c r="AG99" s="65" t="s">
        <v>374</v>
      </c>
      <c r="AH99" s="65" t="s">
        <v>375</v>
      </c>
      <c r="AI99" s="65" t="s">
        <v>376</v>
      </c>
      <c r="AJ99" s="65" t="s">
        <v>377</v>
      </c>
      <c r="AK99" s="65" t="s">
        <v>378</v>
      </c>
      <c r="AL99" s="65" t="s">
        <v>379</v>
      </c>
      <c r="AM99" s="65" t="s">
        <v>365</v>
      </c>
      <c r="AN99" s="65" t="s">
        <v>381</v>
      </c>
      <c r="AO99" s="65" t="s">
        <v>382</v>
      </c>
      <c r="AP99" s="65" t="s">
        <v>383</v>
      </c>
      <c r="AQ99" s="65" t="s">
        <v>372</v>
      </c>
      <c r="AR99" s="66"/>
      <c r="AS99" s="63" t="s">
        <v>432</v>
      </c>
      <c r="AT99" s="64" t="s">
        <v>384</v>
      </c>
      <c r="AU99" s="65"/>
      <c r="AV99" s="65" t="s">
        <v>391</v>
      </c>
      <c r="AW99" s="65" t="s">
        <v>392</v>
      </c>
      <c r="AX99" s="65" t="s">
        <v>393</v>
      </c>
      <c r="AY99" s="65" t="s">
        <v>394</v>
      </c>
      <c r="AZ99" s="65" t="s">
        <v>467</v>
      </c>
      <c r="BA99" s="65" t="s">
        <v>395</v>
      </c>
      <c r="BB99" s="65" t="s">
        <v>396</v>
      </c>
      <c r="BC99" s="65" t="s">
        <v>372</v>
      </c>
      <c r="BD99" s="66"/>
      <c r="BE99" s="286"/>
      <c r="BF99" s="63" t="s">
        <v>432</v>
      </c>
      <c r="BG99" s="160" t="s">
        <v>397</v>
      </c>
      <c r="BH99" s="65" t="s">
        <v>398</v>
      </c>
      <c r="BI99" s="65" t="s">
        <v>423</v>
      </c>
      <c r="BJ99" s="67"/>
      <c r="BK99" s="65"/>
      <c r="BL99" s="65" t="s">
        <v>372</v>
      </c>
      <c r="BM99" s="68"/>
      <c r="BN99" s="68"/>
      <c r="BO99" s="63" t="s">
        <v>432</v>
      </c>
      <c r="BP99" s="171" t="s">
        <v>37</v>
      </c>
      <c r="BQ99" s="171" t="s">
        <v>39</v>
      </c>
    </row>
    <row r="100" spans="1:69" s="95" customFormat="1" ht="16.5" customHeight="1">
      <c r="A100" s="283"/>
      <c r="B100" s="281"/>
      <c r="C100" s="236"/>
      <c r="D100" s="264"/>
      <c r="E100" s="264"/>
      <c r="F100" s="264"/>
      <c r="G100" s="264"/>
      <c r="H100" s="264"/>
      <c r="I100" s="236"/>
      <c r="J100" s="268"/>
      <c r="K100" s="268"/>
      <c r="L100" s="265"/>
      <c r="M100" s="236"/>
      <c r="N100" s="236"/>
      <c r="O100" s="264"/>
      <c r="P100" s="264"/>
      <c r="Q100" s="235"/>
      <c r="R100" s="264"/>
      <c r="S100" s="264"/>
      <c r="T100" s="264"/>
      <c r="U100" s="264"/>
      <c r="V100" s="264"/>
      <c r="W100" s="264"/>
      <c r="X100" s="235"/>
      <c r="Y100" s="264"/>
      <c r="Z100" s="264"/>
      <c r="AA100" s="264"/>
      <c r="AB100" s="264"/>
      <c r="AC100" s="68"/>
      <c r="AD100" s="265"/>
      <c r="AE100" s="236"/>
      <c r="AF100" s="236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68"/>
      <c r="AS100" s="265"/>
      <c r="AT100" s="236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68"/>
      <c r="BE100" s="290"/>
      <c r="BF100" s="265"/>
      <c r="BG100" s="235"/>
      <c r="BH100" s="264"/>
      <c r="BI100" s="264"/>
      <c r="BJ100" s="266"/>
      <c r="BK100" s="264"/>
      <c r="BL100" s="264"/>
      <c r="BM100" s="68"/>
      <c r="BN100" s="68"/>
      <c r="BO100" s="68"/>
      <c r="BP100" s="267"/>
      <c r="BQ100" s="267"/>
    </row>
    <row r="101" spans="1:69" ht="12.75">
      <c r="A101" s="232" t="s">
        <v>415</v>
      </c>
      <c r="B101" s="282"/>
      <c r="C101" s="231">
        <f>C13+C86+C87</f>
        <v>-2806674</v>
      </c>
      <c r="D101" s="231">
        <f>D13+D86+D87</f>
        <v>7226868.76</v>
      </c>
      <c r="E101" s="231">
        <f>E13+E86+E87</f>
        <v>-42900.5</v>
      </c>
      <c r="F101" s="231">
        <f>F13+F86+F87</f>
        <v>4377294.2600000035</v>
      </c>
      <c r="G101" s="231">
        <v>1385794</v>
      </c>
      <c r="H101" s="231">
        <v>0</v>
      </c>
      <c r="I101" s="231">
        <f>I13+I86+I87</f>
        <v>2991500.260000003</v>
      </c>
      <c r="J101" s="103"/>
      <c r="K101" s="103"/>
      <c r="L101" s="231" t="s">
        <v>415</v>
      </c>
      <c r="M101" s="231">
        <f aca="true" t="shared" si="60" ref="M101:AB101">M13+M86+M87</f>
        <v>2927127</v>
      </c>
      <c r="N101" s="231">
        <f t="shared" si="60"/>
        <v>4358651</v>
      </c>
      <c r="O101" s="231">
        <f t="shared" si="60"/>
        <v>644205</v>
      </c>
      <c r="P101" s="231">
        <f t="shared" si="60"/>
        <v>-109600</v>
      </c>
      <c r="Q101" s="231">
        <f t="shared" si="60"/>
        <v>318684</v>
      </c>
      <c r="R101" s="231">
        <f t="shared" si="60"/>
        <v>-515</v>
      </c>
      <c r="S101" s="231">
        <f t="shared" si="60"/>
        <v>-413429</v>
      </c>
      <c r="T101" s="231">
        <f t="shared" si="60"/>
        <v>-14573.2</v>
      </c>
      <c r="U101" s="231">
        <f t="shared" si="60"/>
        <v>-60</v>
      </c>
      <c r="V101" s="231">
        <f t="shared" si="60"/>
        <v>-711306.81</v>
      </c>
      <c r="W101" s="231">
        <f t="shared" si="60"/>
        <v>192478</v>
      </c>
      <c r="X101" s="231">
        <f t="shared" si="60"/>
        <v>-1000</v>
      </c>
      <c r="Y101" s="231">
        <f t="shared" si="60"/>
        <v>-600</v>
      </c>
      <c r="Z101" s="231">
        <f t="shared" si="60"/>
        <v>43271.27</v>
      </c>
      <c r="AA101" s="231">
        <f t="shared" si="60"/>
        <v>-6463.5</v>
      </c>
      <c r="AB101" s="231">
        <f t="shared" si="60"/>
        <v>7226868.76</v>
      </c>
      <c r="AC101" s="103"/>
      <c r="AD101" s="231" t="s">
        <v>415</v>
      </c>
      <c r="AE101" s="231"/>
      <c r="AF101" s="231">
        <f aca="true" t="shared" si="61" ref="AF101:AQ101">AF13+AF86+AF87</f>
        <v>-30</v>
      </c>
      <c r="AG101" s="231">
        <f t="shared" si="61"/>
        <v>0</v>
      </c>
      <c r="AH101" s="231">
        <f t="shared" si="61"/>
        <v>0</v>
      </c>
      <c r="AI101" s="231">
        <f t="shared" si="61"/>
        <v>-1000</v>
      </c>
      <c r="AJ101" s="231">
        <f t="shared" si="61"/>
        <v>-1000</v>
      </c>
      <c r="AK101" s="231">
        <f t="shared" si="61"/>
        <v>-2105.63</v>
      </c>
      <c r="AL101" s="231">
        <f t="shared" si="61"/>
        <v>-2105.75</v>
      </c>
      <c r="AM101" s="231">
        <f t="shared" si="61"/>
        <v>-40</v>
      </c>
      <c r="AN101" s="231">
        <f t="shared" si="61"/>
        <v>54409.8</v>
      </c>
      <c r="AO101" s="231">
        <f t="shared" si="61"/>
        <v>-2034</v>
      </c>
      <c r="AP101" s="231">
        <f t="shared" si="61"/>
        <v>-1000</v>
      </c>
      <c r="AQ101" s="231">
        <f t="shared" si="61"/>
        <v>43271.27</v>
      </c>
      <c r="AR101" s="103"/>
      <c r="AS101" s="231" t="s">
        <v>415</v>
      </c>
      <c r="AT101" s="231">
        <f>AT13+AT86+AT87</f>
        <v>-1000</v>
      </c>
      <c r="AU101" s="231"/>
      <c r="AV101" s="231">
        <f aca="true" t="shared" si="62" ref="AV101:BC101">AV13+AV86+AV87</f>
        <v>-1270</v>
      </c>
      <c r="AW101" s="231">
        <f t="shared" si="62"/>
        <v>-1270</v>
      </c>
      <c r="AX101" s="231">
        <f t="shared" si="62"/>
        <v>-1000</v>
      </c>
      <c r="AY101" s="231">
        <f t="shared" si="62"/>
        <v>-70</v>
      </c>
      <c r="AZ101" s="231">
        <f t="shared" si="62"/>
        <v>-70</v>
      </c>
      <c r="BA101" s="231">
        <f t="shared" si="62"/>
        <v>-70</v>
      </c>
      <c r="BB101" s="231">
        <f t="shared" si="62"/>
        <v>-1713.5</v>
      </c>
      <c r="BC101" s="231">
        <f t="shared" si="62"/>
        <v>-6463.5</v>
      </c>
      <c r="BD101" s="103"/>
      <c r="BE101" s="288"/>
      <c r="BF101" s="231" t="s">
        <v>415</v>
      </c>
      <c r="BG101" s="231">
        <f aca="true" t="shared" si="63" ref="BG101:BL101">BG13+BG86+BG87</f>
        <v>-4138.5</v>
      </c>
      <c r="BH101" s="231">
        <f t="shared" si="63"/>
        <v>-37722</v>
      </c>
      <c r="BI101" s="231">
        <f t="shared" si="63"/>
        <v>-1040</v>
      </c>
      <c r="BJ101" s="231">
        <f t="shared" si="63"/>
        <v>0</v>
      </c>
      <c r="BK101" s="231">
        <f t="shared" si="63"/>
        <v>0</v>
      </c>
      <c r="BL101" s="231">
        <f t="shared" si="63"/>
        <v>-42900.5</v>
      </c>
      <c r="BM101" s="103"/>
      <c r="BN101" s="103"/>
      <c r="BO101" s="103" t="s">
        <v>415</v>
      </c>
      <c r="BP101" s="103"/>
      <c r="BQ101" s="103">
        <f>BQ13+BQ86+BQ87</f>
        <v>-4160956.64152</v>
      </c>
    </row>
    <row r="102" spans="1:69" ht="12.75">
      <c r="A102" s="232" t="s">
        <v>416</v>
      </c>
      <c r="B102" s="282"/>
      <c r="C102" s="231"/>
      <c r="D102" s="231"/>
      <c r="E102" s="231"/>
      <c r="F102" s="231"/>
      <c r="G102" s="231"/>
      <c r="H102" s="231"/>
      <c r="I102" s="231"/>
      <c r="J102" s="103"/>
      <c r="K102" s="103"/>
      <c r="L102" s="231" t="s">
        <v>416</v>
      </c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  <c r="AA102" s="231"/>
      <c r="AB102" s="231"/>
      <c r="AC102" s="103"/>
      <c r="AD102" s="231" t="s">
        <v>416</v>
      </c>
      <c r="AE102" s="231"/>
      <c r="AF102" s="231"/>
      <c r="AG102" s="231"/>
      <c r="AH102" s="231"/>
      <c r="AI102" s="231"/>
      <c r="AJ102" s="231"/>
      <c r="AK102" s="231"/>
      <c r="AL102" s="231"/>
      <c r="AM102" s="231"/>
      <c r="AN102" s="231"/>
      <c r="AO102" s="231"/>
      <c r="AP102" s="231"/>
      <c r="AQ102" s="231"/>
      <c r="AR102" s="103"/>
      <c r="AS102" s="231" t="s">
        <v>416</v>
      </c>
      <c r="AT102" s="231"/>
      <c r="AU102" s="231"/>
      <c r="AV102" s="231"/>
      <c r="AW102" s="231"/>
      <c r="AX102" s="231"/>
      <c r="AY102" s="231"/>
      <c r="AZ102" s="231"/>
      <c r="BA102" s="231"/>
      <c r="BB102" s="231"/>
      <c r="BC102" s="231"/>
      <c r="BD102" s="103"/>
      <c r="BE102" s="288"/>
      <c r="BF102" s="231" t="s">
        <v>416</v>
      </c>
      <c r="BG102" s="231"/>
      <c r="BH102" s="231"/>
      <c r="BI102" s="231"/>
      <c r="BJ102" s="231"/>
      <c r="BK102" s="231"/>
      <c r="BL102" s="231"/>
      <c r="BM102" s="103"/>
      <c r="BN102" s="103"/>
      <c r="BO102" s="103" t="s">
        <v>416</v>
      </c>
      <c r="BP102" s="103"/>
      <c r="BQ102" s="103"/>
    </row>
    <row r="103" spans="1:69" ht="12.75">
      <c r="A103" s="232"/>
      <c r="B103" s="282" t="s">
        <v>417</v>
      </c>
      <c r="C103" s="233">
        <f aca="true" t="shared" si="64" ref="C103:I103">C86</f>
        <v>38942013.92</v>
      </c>
      <c r="D103" s="233">
        <f t="shared" si="64"/>
        <v>20573319</v>
      </c>
      <c r="E103" s="233">
        <f t="shared" si="64"/>
        <v>6603042.68</v>
      </c>
      <c r="F103" s="233">
        <f t="shared" si="64"/>
        <v>66118375.6</v>
      </c>
      <c r="G103" s="233">
        <v>0</v>
      </c>
      <c r="H103" s="233">
        <v>0</v>
      </c>
      <c r="I103" s="233">
        <f t="shared" si="64"/>
        <v>66118375.6</v>
      </c>
      <c r="J103" s="103"/>
      <c r="K103" s="103"/>
      <c r="L103" s="231" t="s">
        <v>265</v>
      </c>
      <c r="M103" s="233">
        <f aca="true" t="shared" si="65" ref="M103:AB103">M86</f>
        <v>0</v>
      </c>
      <c r="N103" s="233">
        <f t="shared" si="65"/>
        <v>0</v>
      </c>
      <c r="O103" s="233">
        <f t="shared" si="65"/>
        <v>4618612</v>
      </c>
      <c r="P103" s="233">
        <f t="shared" si="65"/>
        <v>0</v>
      </c>
      <c r="Q103" s="233">
        <f t="shared" si="65"/>
        <v>1264</v>
      </c>
      <c r="R103" s="233">
        <f t="shared" si="65"/>
        <v>0</v>
      </c>
      <c r="S103" s="233">
        <f t="shared" si="65"/>
        <v>11518775</v>
      </c>
      <c r="T103" s="233">
        <f t="shared" si="65"/>
        <v>0</v>
      </c>
      <c r="U103" s="233">
        <f t="shared" si="65"/>
        <v>0</v>
      </c>
      <c r="V103" s="233">
        <f t="shared" si="65"/>
        <v>8820</v>
      </c>
      <c r="W103" s="233">
        <f t="shared" si="65"/>
        <v>4425848</v>
      </c>
      <c r="X103" s="233">
        <f t="shared" si="65"/>
        <v>0</v>
      </c>
      <c r="Y103" s="233">
        <f t="shared" si="65"/>
        <v>0</v>
      </c>
      <c r="Z103" s="233">
        <f t="shared" si="65"/>
        <v>0</v>
      </c>
      <c r="AA103" s="233">
        <f t="shared" si="65"/>
        <v>0</v>
      </c>
      <c r="AB103" s="233">
        <f t="shared" si="65"/>
        <v>20573319</v>
      </c>
      <c r="AC103" s="103"/>
      <c r="AD103" s="231" t="s">
        <v>266</v>
      </c>
      <c r="AE103" s="233">
        <f aca="true" t="shared" si="66" ref="AE103:AQ103">AE86</f>
        <v>0</v>
      </c>
      <c r="AF103" s="233">
        <f t="shared" si="66"/>
        <v>0</v>
      </c>
      <c r="AG103" s="233">
        <f t="shared" si="66"/>
        <v>0</v>
      </c>
      <c r="AH103" s="233">
        <f t="shared" si="66"/>
        <v>0</v>
      </c>
      <c r="AI103" s="233">
        <f t="shared" si="66"/>
        <v>0</v>
      </c>
      <c r="AJ103" s="233">
        <f t="shared" si="66"/>
        <v>0</v>
      </c>
      <c r="AK103" s="233">
        <f t="shared" si="66"/>
        <v>0</v>
      </c>
      <c r="AL103" s="233">
        <f t="shared" si="66"/>
        <v>0</v>
      </c>
      <c r="AM103" s="233">
        <f t="shared" si="66"/>
        <v>0</v>
      </c>
      <c r="AN103" s="233">
        <f t="shared" si="66"/>
        <v>0</v>
      </c>
      <c r="AO103" s="233">
        <f t="shared" si="66"/>
        <v>0</v>
      </c>
      <c r="AP103" s="233">
        <f t="shared" si="66"/>
        <v>0</v>
      </c>
      <c r="AQ103" s="233">
        <f t="shared" si="66"/>
        <v>0</v>
      </c>
      <c r="AR103" s="103"/>
      <c r="AS103" s="231" t="s">
        <v>268</v>
      </c>
      <c r="AT103" s="233">
        <f>AT86</f>
        <v>0</v>
      </c>
      <c r="AU103" s="233"/>
      <c r="AV103" s="233">
        <f aca="true" t="shared" si="67" ref="AV103:BC103">AV86</f>
        <v>0</v>
      </c>
      <c r="AW103" s="233">
        <f t="shared" si="67"/>
        <v>0</v>
      </c>
      <c r="AX103" s="233">
        <f t="shared" si="67"/>
        <v>0</v>
      </c>
      <c r="AY103" s="233">
        <f t="shared" si="67"/>
        <v>0</v>
      </c>
      <c r="AZ103" s="233">
        <f t="shared" si="67"/>
        <v>0</v>
      </c>
      <c r="BA103" s="233">
        <f t="shared" si="67"/>
        <v>0</v>
      </c>
      <c r="BB103" s="233">
        <f t="shared" si="67"/>
        <v>0</v>
      </c>
      <c r="BC103" s="233">
        <f t="shared" si="67"/>
        <v>0</v>
      </c>
      <c r="BD103" s="103"/>
      <c r="BE103" s="288"/>
      <c r="BF103" s="231" t="s">
        <v>266</v>
      </c>
      <c r="BG103" s="233">
        <f aca="true" t="shared" si="68" ref="BG103:BL103">BG86</f>
        <v>339786.56</v>
      </c>
      <c r="BH103" s="233">
        <f t="shared" si="68"/>
        <v>661952</v>
      </c>
      <c r="BI103" s="233">
        <f t="shared" si="68"/>
        <v>5601304.12</v>
      </c>
      <c r="BJ103" s="233">
        <f t="shared" si="68"/>
        <v>0</v>
      </c>
      <c r="BK103" s="233">
        <f t="shared" si="68"/>
        <v>0</v>
      </c>
      <c r="BL103" s="233">
        <f t="shared" si="68"/>
        <v>6603042.68</v>
      </c>
      <c r="BM103" s="103"/>
      <c r="BN103" s="103"/>
      <c r="BO103" s="103"/>
      <c r="BP103" s="103" t="s">
        <v>417</v>
      </c>
      <c r="BQ103" s="103">
        <f>BQ86</f>
        <v>0</v>
      </c>
    </row>
    <row r="104" spans="1:69" ht="12.75">
      <c r="A104" s="232" t="s">
        <v>418</v>
      </c>
      <c r="B104" s="282"/>
      <c r="C104" s="231">
        <f>C101-C103</f>
        <v>-41748687.92</v>
      </c>
      <c r="D104" s="231">
        <f aca="true" t="shared" si="69" ref="D104:BL104">D101-D103</f>
        <v>-13346450.24</v>
      </c>
      <c r="E104" s="231">
        <f t="shared" si="69"/>
        <v>-6645943.18</v>
      </c>
      <c r="F104" s="231">
        <f t="shared" si="69"/>
        <v>-61741081.339999996</v>
      </c>
      <c r="G104" s="231">
        <v>1385794</v>
      </c>
      <c r="H104" s="231">
        <v>0</v>
      </c>
      <c r="I104" s="231">
        <f t="shared" si="69"/>
        <v>-63126875.339999996</v>
      </c>
      <c r="J104" s="103"/>
      <c r="K104" s="103"/>
      <c r="L104" s="231" t="s">
        <v>418</v>
      </c>
      <c r="M104" s="231">
        <f t="shared" si="69"/>
        <v>2927127</v>
      </c>
      <c r="N104" s="231">
        <f t="shared" si="69"/>
        <v>4358651</v>
      </c>
      <c r="O104" s="231">
        <f t="shared" si="69"/>
        <v>-3974407</v>
      </c>
      <c r="P104" s="231">
        <f t="shared" si="69"/>
        <v>-109600</v>
      </c>
      <c r="Q104" s="231">
        <f t="shared" si="69"/>
        <v>317420</v>
      </c>
      <c r="R104" s="231">
        <f t="shared" si="69"/>
        <v>-515</v>
      </c>
      <c r="S104" s="231">
        <f t="shared" si="69"/>
        <v>-11932204</v>
      </c>
      <c r="T104" s="231">
        <f t="shared" si="69"/>
        <v>-14573.2</v>
      </c>
      <c r="U104" s="231">
        <f t="shared" si="69"/>
        <v>-60</v>
      </c>
      <c r="V104" s="231">
        <f t="shared" si="69"/>
        <v>-720126.81</v>
      </c>
      <c r="W104" s="231">
        <f t="shared" si="69"/>
        <v>-4233370</v>
      </c>
      <c r="X104" s="231">
        <f t="shared" si="69"/>
        <v>-1000</v>
      </c>
      <c r="Y104" s="231">
        <f t="shared" si="69"/>
        <v>-600</v>
      </c>
      <c r="Z104" s="231">
        <f t="shared" si="69"/>
        <v>43271.27</v>
      </c>
      <c r="AA104" s="231">
        <f t="shared" si="69"/>
        <v>-6463.5</v>
      </c>
      <c r="AB104" s="231">
        <f t="shared" si="69"/>
        <v>-13346450.24</v>
      </c>
      <c r="AC104" s="103"/>
      <c r="AD104" s="231" t="s">
        <v>418</v>
      </c>
      <c r="AE104" s="231"/>
      <c r="AF104" s="231">
        <f t="shared" si="69"/>
        <v>-30</v>
      </c>
      <c r="AG104" s="231">
        <f t="shared" si="69"/>
        <v>0</v>
      </c>
      <c r="AH104" s="231">
        <f t="shared" si="69"/>
        <v>0</v>
      </c>
      <c r="AI104" s="231">
        <f t="shared" si="69"/>
        <v>-1000</v>
      </c>
      <c r="AJ104" s="231">
        <f t="shared" si="69"/>
        <v>-1000</v>
      </c>
      <c r="AK104" s="231">
        <f t="shared" si="69"/>
        <v>-2105.63</v>
      </c>
      <c r="AL104" s="231">
        <f t="shared" si="69"/>
        <v>-2105.75</v>
      </c>
      <c r="AM104" s="231">
        <f t="shared" si="69"/>
        <v>-40</v>
      </c>
      <c r="AN104" s="231">
        <f t="shared" si="69"/>
        <v>54409.8</v>
      </c>
      <c r="AO104" s="231">
        <f t="shared" si="69"/>
        <v>-2034</v>
      </c>
      <c r="AP104" s="231">
        <f t="shared" si="69"/>
        <v>-1000</v>
      </c>
      <c r="AQ104" s="231">
        <f t="shared" si="69"/>
        <v>43271.27</v>
      </c>
      <c r="AR104" s="103"/>
      <c r="AS104" s="231" t="s">
        <v>418</v>
      </c>
      <c r="AT104" s="231">
        <f t="shared" si="69"/>
        <v>-1000</v>
      </c>
      <c r="AU104" s="231"/>
      <c r="AV104" s="231">
        <f t="shared" si="69"/>
        <v>-1270</v>
      </c>
      <c r="AW104" s="231">
        <f t="shared" si="69"/>
        <v>-1270</v>
      </c>
      <c r="AX104" s="231">
        <f t="shared" si="69"/>
        <v>-1000</v>
      </c>
      <c r="AY104" s="231">
        <f t="shared" si="69"/>
        <v>-70</v>
      </c>
      <c r="AZ104" s="231">
        <f t="shared" si="69"/>
        <v>-70</v>
      </c>
      <c r="BA104" s="231">
        <f t="shared" si="69"/>
        <v>-70</v>
      </c>
      <c r="BB104" s="231">
        <f t="shared" si="69"/>
        <v>-1713.5</v>
      </c>
      <c r="BC104" s="231">
        <f t="shared" si="69"/>
        <v>-6463.5</v>
      </c>
      <c r="BD104" s="103"/>
      <c r="BE104" s="288"/>
      <c r="BF104" s="231" t="s">
        <v>418</v>
      </c>
      <c r="BG104" s="231">
        <f t="shared" si="69"/>
        <v>-343925.06</v>
      </c>
      <c r="BH104" s="231">
        <f t="shared" si="69"/>
        <v>-699674</v>
      </c>
      <c r="BI104" s="231">
        <f t="shared" si="69"/>
        <v>-5602344.12</v>
      </c>
      <c r="BJ104" s="231">
        <f t="shared" si="69"/>
        <v>0</v>
      </c>
      <c r="BK104" s="231">
        <f t="shared" si="69"/>
        <v>0</v>
      </c>
      <c r="BL104" s="231">
        <f t="shared" si="69"/>
        <v>-6645943.18</v>
      </c>
      <c r="BM104" s="103"/>
      <c r="BN104" s="103"/>
      <c r="BO104" s="103" t="s">
        <v>418</v>
      </c>
      <c r="BP104" s="103"/>
      <c r="BQ104" s="103">
        <f>BQ101-BQ103</f>
        <v>-4160956.64152</v>
      </c>
    </row>
    <row r="105" spans="1:69" ht="12.75">
      <c r="A105" s="232" t="s">
        <v>416</v>
      </c>
      <c r="B105" s="282"/>
      <c r="C105" s="231"/>
      <c r="D105" s="231"/>
      <c r="E105" s="231"/>
      <c r="F105" s="231"/>
      <c r="G105" s="231"/>
      <c r="H105" s="231"/>
      <c r="I105" s="231"/>
      <c r="J105" s="103"/>
      <c r="K105" s="103"/>
      <c r="L105" s="231" t="s">
        <v>416</v>
      </c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103"/>
      <c r="AD105" s="231" t="s">
        <v>416</v>
      </c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103"/>
      <c r="AS105" s="231" t="s">
        <v>416</v>
      </c>
      <c r="AT105" s="231"/>
      <c r="AU105" s="231"/>
      <c r="AV105" s="231"/>
      <c r="AW105" s="231"/>
      <c r="AX105" s="231"/>
      <c r="AY105" s="231"/>
      <c r="AZ105" s="231"/>
      <c r="BA105" s="231"/>
      <c r="BB105" s="231"/>
      <c r="BC105" s="231"/>
      <c r="BD105" s="103"/>
      <c r="BE105" s="288"/>
      <c r="BF105" s="231" t="s">
        <v>416</v>
      </c>
      <c r="BG105" s="231"/>
      <c r="BH105" s="231"/>
      <c r="BI105" s="231"/>
      <c r="BJ105" s="231"/>
      <c r="BK105" s="231"/>
      <c r="BL105" s="231"/>
      <c r="BM105" s="103"/>
      <c r="BN105" s="103"/>
      <c r="BO105" s="103" t="s">
        <v>416</v>
      </c>
      <c r="BP105" s="103"/>
      <c r="BQ105" s="103"/>
    </row>
    <row r="106" spans="1:69" ht="12.75">
      <c r="A106" s="232"/>
      <c r="B106" s="282" t="s">
        <v>424</v>
      </c>
      <c r="C106" s="231">
        <f aca="true" t="shared" si="70" ref="C106:I106">C87</f>
        <v>457109</v>
      </c>
      <c r="D106" s="231">
        <f t="shared" si="70"/>
        <v>1267843.31</v>
      </c>
      <c r="E106" s="231">
        <f t="shared" si="70"/>
        <v>472898</v>
      </c>
      <c r="F106" s="231">
        <f t="shared" si="70"/>
        <v>2197850.31</v>
      </c>
      <c r="G106" s="231">
        <v>0</v>
      </c>
      <c r="H106" s="231">
        <v>0</v>
      </c>
      <c r="I106" s="231">
        <f t="shared" si="70"/>
        <v>2197850.31</v>
      </c>
      <c r="J106" s="103"/>
      <c r="K106" s="103"/>
      <c r="L106" s="231"/>
      <c r="M106" s="231">
        <f aca="true" t="shared" si="71" ref="M106:AB106">M87</f>
        <v>9759</v>
      </c>
      <c r="N106" s="231">
        <f t="shared" si="71"/>
        <v>50600</v>
      </c>
      <c r="O106" s="231">
        <f t="shared" si="71"/>
        <v>177296</v>
      </c>
      <c r="P106" s="231">
        <f t="shared" si="71"/>
        <v>107863</v>
      </c>
      <c r="Q106" s="231">
        <f t="shared" si="71"/>
        <v>540</v>
      </c>
      <c r="R106" s="231">
        <f t="shared" si="71"/>
        <v>34369</v>
      </c>
      <c r="S106" s="231">
        <f t="shared" si="71"/>
        <v>188890</v>
      </c>
      <c r="T106" s="231">
        <f t="shared" si="71"/>
        <v>0</v>
      </c>
      <c r="U106" s="231">
        <f t="shared" si="71"/>
        <v>0</v>
      </c>
      <c r="V106" s="231">
        <f t="shared" si="71"/>
        <v>112890.07</v>
      </c>
      <c r="W106" s="231">
        <f t="shared" si="71"/>
        <v>577702</v>
      </c>
      <c r="X106" s="231">
        <f t="shared" si="71"/>
        <v>689</v>
      </c>
      <c r="Y106" s="231">
        <f t="shared" si="71"/>
        <v>0</v>
      </c>
      <c r="Z106" s="231">
        <f t="shared" si="71"/>
        <v>7245.24</v>
      </c>
      <c r="AA106" s="231">
        <f t="shared" si="71"/>
        <v>0</v>
      </c>
      <c r="AB106" s="231">
        <f t="shared" si="71"/>
        <v>1267843.31</v>
      </c>
      <c r="AC106" s="103"/>
      <c r="AD106" s="231" t="s">
        <v>267</v>
      </c>
      <c r="AE106" s="231">
        <f aca="true" t="shared" si="72" ref="AE106:AQ106">AE87</f>
        <v>0</v>
      </c>
      <c r="AF106" s="231">
        <f t="shared" si="72"/>
        <v>0</v>
      </c>
      <c r="AG106" s="231">
        <f t="shared" si="72"/>
        <v>0</v>
      </c>
      <c r="AH106" s="231">
        <f t="shared" si="72"/>
        <v>0</v>
      </c>
      <c r="AI106" s="231">
        <f t="shared" si="72"/>
        <v>0</v>
      </c>
      <c r="AJ106" s="231">
        <f t="shared" si="72"/>
        <v>0</v>
      </c>
      <c r="AK106" s="231">
        <f t="shared" si="72"/>
        <v>0</v>
      </c>
      <c r="AL106" s="231">
        <f t="shared" si="72"/>
        <v>0</v>
      </c>
      <c r="AM106" s="231">
        <f t="shared" si="72"/>
        <v>7245.24</v>
      </c>
      <c r="AN106" s="231">
        <f t="shared" si="72"/>
        <v>0</v>
      </c>
      <c r="AO106" s="231">
        <f t="shared" si="72"/>
        <v>0</v>
      </c>
      <c r="AP106" s="231">
        <f t="shared" si="72"/>
        <v>0</v>
      </c>
      <c r="AQ106" s="231">
        <f t="shared" si="72"/>
        <v>7245.24</v>
      </c>
      <c r="AR106" s="103"/>
      <c r="AS106" s="231" t="s">
        <v>269</v>
      </c>
      <c r="AT106" s="231">
        <f>AT87</f>
        <v>0</v>
      </c>
      <c r="AU106" s="231"/>
      <c r="AV106" s="231">
        <f aca="true" t="shared" si="73" ref="AV106:BC106">AV87</f>
        <v>0</v>
      </c>
      <c r="AW106" s="231">
        <f t="shared" si="73"/>
        <v>0</v>
      </c>
      <c r="AX106" s="231">
        <f t="shared" si="73"/>
        <v>0</v>
      </c>
      <c r="AY106" s="231">
        <f t="shared" si="73"/>
        <v>0</v>
      </c>
      <c r="AZ106" s="231">
        <f t="shared" si="73"/>
        <v>0</v>
      </c>
      <c r="BA106" s="231">
        <f t="shared" si="73"/>
        <v>0</v>
      </c>
      <c r="BB106" s="231">
        <f t="shared" si="73"/>
        <v>0</v>
      </c>
      <c r="BC106" s="231">
        <f t="shared" si="73"/>
        <v>0</v>
      </c>
      <c r="BD106" s="103"/>
      <c r="BE106" s="288"/>
      <c r="BF106" s="231" t="s">
        <v>267</v>
      </c>
      <c r="BG106" s="231">
        <f aca="true" t="shared" si="74" ref="BG106:BL106">BG87</f>
        <v>0</v>
      </c>
      <c r="BH106" s="231">
        <f t="shared" si="74"/>
        <v>472898</v>
      </c>
      <c r="BI106" s="231">
        <f t="shared" si="74"/>
        <v>0</v>
      </c>
      <c r="BJ106" s="231">
        <f t="shared" si="74"/>
        <v>0</v>
      </c>
      <c r="BK106" s="231">
        <f t="shared" si="74"/>
        <v>0</v>
      </c>
      <c r="BL106" s="231">
        <f t="shared" si="74"/>
        <v>472898</v>
      </c>
      <c r="BM106" s="103"/>
      <c r="BN106" s="103"/>
      <c r="BO106" s="103"/>
      <c r="BP106" s="103" t="s">
        <v>424</v>
      </c>
      <c r="BQ106" s="103">
        <f>BQ87</f>
        <v>0</v>
      </c>
    </row>
    <row r="107" spans="1:69" ht="12.75">
      <c r="A107" s="284" t="s">
        <v>419</v>
      </c>
      <c r="B107" s="263"/>
      <c r="C107" s="262">
        <f>C104-C106</f>
        <v>-42205796.92</v>
      </c>
      <c r="D107" s="262">
        <f aca="true" t="shared" si="75" ref="D107:BL107">D104-D106</f>
        <v>-14614293.55</v>
      </c>
      <c r="E107" s="262">
        <f t="shared" si="75"/>
        <v>-7118841.18</v>
      </c>
      <c r="F107" s="262">
        <f t="shared" si="75"/>
        <v>-63938931.65</v>
      </c>
      <c r="G107" s="262">
        <v>1385794</v>
      </c>
      <c r="H107" s="262">
        <v>0</v>
      </c>
      <c r="I107" s="262">
        <f t="shared" si="75"/>
        <v>-65324725.65</v>
      </c>
      <c r="J107" s="103"/>
      <c r="K107" s="103"/>
      <c r="L107" s="233" t="s">
        <v>419</v>
      </c>
      <c r="M107" s="262">
        <f t="shared" si="75"/>
        <v>2917368</v>
      </c>
      <c r="N107" s="262">
        <f t="shared" si="75"/>
        <v>4308051</v>
      </c>
      <c r="O107" s="262">
        <f t="shared" si="75"/>
        <v>-4151703</v>
      </c>
      <c r="P107" s="262">
        <f t="shared" si="75"/>
        <v>-217463</v>
      </c>
      <c r="Q107" s="262">
        <f t="shared" si="75"/>
        <v>316880</v>
      </c>
      <c r="R107" s="262">
        <f t="shared" si="75"/>
        <v>-34884</v>
      </c>
      <c r="S107" s="262">
        <f t="shared" si="75"/>
        <v>-12121094</v>
      </c>
      <c r="T107" s="262">
        <f t="shared" si="75"/>
        <v>-14573.2</v>
      </c>
      <c r="U107" s="262">
        <f t="shared" si="75"/>
        <v>-60</v>
      </c>
      <c r="V107" s="262">
        <f t="shared" si="75"/>
        <v>-833016.8800000001</v>
      </c>
      <c r="W107" s="262">
        <f t="shared" si="75"/>
        <v>-4811072</v>
      </c>
      <c r="X107" s="262">
        <f t="shared" si="75"/>
        <v>-1689</v>
      </c>
      <c r="Y107" s="262">
        <f t="shared" si="75"/>
        <v>-600</v>
      </c>
      <c r="Z107" s="262">
        <f t="shared" si="75"/>
        <v>36026.03</v>
      </c>
      <c r="AA107" s="262">
        <f t="shared" si="75"/>
        <v>-6463.5</v>
      </c>
      <c r="AB107" s="262">
        <f t="shared" si="75"/>
        <v>-14614293.55</v>
      </c>
      <c r="AC107" s="103"/>
      <c r="AD107" s="233" t="s">
        <v>419</v>
      </c>
      <c r="AE107" s="262">
        <f t="shared" si="75"/>
        <v>0</v>
      </c>
      <c r="AF107" s="262">
        <f t="shared" si="75"/>
        <v>-30</v>
      </c>
      <c r="AG107" s="262">
        <f t="shared" si="75"/>
        <v>0</v>
      </c>
      <c r="AH107" s="262">
        <f t="shared" si="75"/>
        <v>0</v>
      </c>
      <c r="AI107" s="262">
        <f t="shared" si="75"/>
        <v>-1000</v>
      </c>
      <c r="AJ107" s="262">
        <f t="shared" si="75"/>
        <v>-1000</v>
      </c>
      <c r="AK107" s="262">
        <f t="shared" si="75"/>
        <v>-2105.63</v>
      </c>
      <c r="AL107" s="262">
        <f t="shared" si="75"/>
        <v>-2105.75</v>
      </c>
      <c r="AM107" s="262">
        <f t="shared" si="75"/>
        <v>-7285.24</v>
      </c>
      <c r="AN107" s="262">
        <f t="shared" si="75"/>
        <v>54409.8</v>
      </c>
      <c r="AO107" s="262">
        <f t="shared" si="75"/>
        <v>-2034</v>
      </c>
      <c r="AP107" s="262">
        <f t="shared" si="75"/>
        <v>-1000</v>
      </c>
      <c r="AQ107" s="262">
        <f t="shared" si="75"/>
        <v>36026.03</v>
      </c>
      <c r="AR107" s="103"/>
      <c r="AS107" s="233" t="s">
        <v>419</v>
      </c>
      <c r="AT107" s="262">
        <f t="shared" si="75"/>
        <v>-1000</v>
      </c>
      <c r="AU107" s="262"/>
      <c r="AV107" s="262">
        <f t="shared" si="75"/>
        <v>-1270</v>
      </c>
      <c r="AW107" s="262">
        <f t="shared" si="75"/>
        <v>-1270</v>
      </c>
      <c r="AX107" s="262">
        <f t="shared" si="75"/>
        <v>-1000</v>
      </c>
      <c r="AY107" s="262">
        <f t="shared" si="75"/>
        <v>-70</v>
      </c>
      <c r="AZ107" s="262">
        <f t="shared" si="75"/>
        <v>-70</v>
      </c>
      <c r="BA107" s="262">
        <f t="shared" si="75"/>
        <v>-70</v>
      </c>
      <c r="BB107" s="262">
        <f t="shared" si="75"/>
        <v>-1713.5</v>
      </c>
      <c r="BC107" s="262">
        <f t="shared" si="75"/>
        <v>-6463.5</v>
      </c>
      <c r="BD107" s="103"/>
      <c r="BE107" s="288"/>
      <c r="BF107" s="233" t="s">
        <v>419</v>
      </c>
      <c r="BG107" s="262">
        <f t="shared" si="75"/>
        <v>-343925.06</v>
      </c>
      <c r="BH107" s="262">
        <f t="shared" si="75"/>
        <v>-1172572</v>
      </c>
      <c r="BI107" s="262">
        <f t="shared" si="75"/>
        <v>-5602344.12</v>
      </c>
      <c r="BJ107" s="262">
        <f t="shared" si="75"/>
        <v>0</v>
      </c>
      <c r="BK107" s="262">
        <f t="shared" si="75"/>
        <v>0</v>
      </c>
      <c r="BL107" s="262">
        <f t="shared" si="75"/>
        <v>-7118841.18</v>
      </c>
      <c r="BM107" s="103"/>
      <c r="BN107" s="103"/>
      <c r="BO107" s="103" t="s">
        <v>419</v>
      </c>
      <c r="BP107" s="103"/>
      <c r="BQ107" s="103">
        <f>BQ104-BQ106</f>
        <v>-4160956.64152</v>
      </c>
    </row>
    <row r="108" spans="1:64" ht="12.75">
      <c r="A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288"/>
      <c r="BF108" s="103"/>
      <c r="BG108" s="103"/>
      <c r="BH108" s="103"/>
      <c r="BI108" s="103"/>
      <c r="BJ108" s="103"/>
      <c r="BK108" s="103"/>
      <c r="BL108" s="103"/>
    </row>
    <row r="109" spans="1:64" ht="12.75">
      <c r="A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288"/>
      <c r="BF109" s="103"/>
      <c r="BG109" s="103"/>
      <c r="BH109" s="103"/>
      <c r="BI109" s="103"/>
      <c r="BJ109" s="103"/>
      <c r="BK109" s="103"/>
      <c r="BL109" s="103"/>
    </row>
    <row r="110" spans="1:64" ht="12.75">
      <c r="A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288"/>
      <c r="BF110" s="103"/>
      <c r="BG110" s="103"/>
      <c r="BH110" s="103"/>
      <c r="BI110" s="103"/>
      <c r="BJ110" s="103"/>
      <c r="BK110" s="103"/>
      <c r="BL110" s="103"/>
    </row>
    <row r="111" spans="1:64" ht="12.75">
      <c r="A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288"/>
      <c r="BF111" s="103"/>
      <c r="BG111" s="103"/>
      <c r="BH111" s="103"/>
      <c r="BI111" s="103"/>
      <c r="BJ111" s="103"/>
      <c r="BK111" s="103"/>
      <c r="BL111" s="103"/>
    </row>
    <row r="112" spans="1:64" ht="12.75">
      <c r="A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288"/>
      <c r="BF112" s="103"/>
      <c r="BG112" s="103"/>
      <c r="BH112" s="103"/>
      <c r="BI112" s="103"/>
      <c r="BJ112" s="103"/>
      <c r="BK112" s="103"/>
      <c r="BL112" s="103"/>
    </row>
    <row r="113" spans="1:64" ht="12.75">
      <c r="A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288"/>
      <c r="BF113" s="103"/>
      <c r="BG113" s="103"/>
      <c r="BH113" s="103"/>
      <c r="BI113" s="103"/>
      <c r="BJ113" s="103"/>
      <c r="BK113" s="103"/>
      <c r="BL113" s="103"/>
    </row>
    <row r="114" spans="1:64" ht="12.75">
      <c r="A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288"/>
      <c r="BF114" s="103"/>
      <c r="BG114" s="103"/>
      <c r="BH114" s="103"/>
      <c r="BI114" s="103"/>
      <c r="BJ114" s="103"/>
      <c r="BK114" s="103"/>
      <c r="BL114" s="103"/>
    </row>
    <row r="115" spans="1:64" ht="12.75">
      <c r="A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288"/>
      <c r="BF115" s="103"/>
      <c r="BG115" s="103"/>
      <c r="BH115" s="103"/>
      <c r="BI115" s="103"/>
      <c r="BJ115" s="103"/>
      <c r="BK115" s="103"/>
      <c r="BL115" s="103"/>
    </row>
    <row r="116" spans="1:64" ht="12.75">
      <c r="A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288"/>
      <c r="BF116" s="103"/>
      <c r="BG116" s="103"/>
      <c r="BH116" s="103"/>
      <c r="BI116" s="103"/>
      <c r="BJ116" s="103"/>
      <c r="BK116" s="103"/>
      <c r="BL116" s="103"/>
    </row>
    <row r="117" spans="1:64" ht="12.75">
      <c r="A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288"/>
      <c r="BF117" s="103"/>
      <c r="BG117" s="103"/>
      <c r="BH117" s="103"/>
      <c r="BI117" s="103"/>
      <c r="BJ117" s="103"/>
      <c r="BK117" s="103"/>
      <c r="BL117" s="103"/>
    </row>
    <row r="118" spans="1:64" ht="12.75">
      <c r="A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288"/>
      <c r="BF118" s="103"/>
      <c r="BG118" s="103"/>
      <c r="BH118" s="103"/>
      <c r="BI118" s="103"/>
      <c r="BJ118" s="103"/>
      <c r="BK118" s="103"/>
      <c r="BL118" s="103"/>
    </row>
    <row r="119" spans="1:64" ht="12.75">
      <c r="A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288"/>
      <c r="BF119" s="103"/>
      <c r="BG119" s="103"/>
      <c r="BH119" s="103"/>
      <c r="BI119" s="103"/>
      <c r="BJ119" s="103"/>
      <c r="BK119" s="103"/>
      <c r="BL119" s="103"/>
    </row>
    <row r="120" spans="1:64" ht="12.75">
      <c r="A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288"/>
      <c r="BF120" s="103"/>
      <c r="BG120" s="103"/>
      <c r="BH120" s="103"/>
      <c r="BI120" s="103"/>
      <c r="BJ120" s="103"/>
      <c r="BK120" s="103"/>
      <c r="BL120" s="103"/>
    </row>
    <row r="121" spans="1:64" ht="12.75">
      <c r="A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288"/>
      <c r="BF121" s="103"/>
      <c r="BG121" s="103"/>
      <c r="BH121" s="103"/>
      <c r="BI121" s="103"/>
      <c r="BJ121" s="103"/>
      <c r="BK121" s="103"/>
      <c r="BL121" s="103"/>
    </row>
    <row r="122" spans="1:64" ht="12.75">
      <c r="A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288"/>
      <c r="BF122" s="103"/>
      <c r="BG122" s="103"/>
      <c r="BH122" s="103"/>
      <c r="BI122" s="103"/>
      <c r="BJ122" s="103"/>
      <c r="BK122" s="103"/>
      <c r="BL122" s="103"/>
    </row>
    <row r="123" spans="1:64" ht="12.75">
      <c r="A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288"/>
      <c r="BF123" s="103"/>
      <c r="BG123" s="103"/>
      <c r="BH123" s="103"/>
      <c r="BI123" s="103"/>
      <c r="BJ123" s="103"/>
      <c r="BK123" s="103"/>
      <c r="BL123" s="103"/>
    </row>
    <row r="124" spans="1:64" ht="12.75">
      <c r="A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288"/>
      <c r="BF124" s="103"/>
      <c r="BG124" s="103"/>
      <c r="BH124" s="103"/>
      <c r="BI124" s="103"/>
      <c r="BJ124" s="103"/>
      <c r="BK124" s="103"/>
      <c r="BL124" s="103"/>
    </row>
    <row r="125" spans="1:64" ht="12.75">
      <c r="A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288"/>
      <c r="BF125" s="103"/>
      <c r="BG125" s="103"/>
      <c r="BH125" s="103"/>
      <c r="BI125" s="103"/>
      <c r="BJ125" s="103"/>
      <c r="BK125" s="103"/>
      <c r="BL125" s="103"/>
    </row>
    <row r="126" spans="1:64" ht="12.75">
      <c r="A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288"/>
      <c r="BF126" s="103"/>
      <c r="BG126" s="103"/>
      <c r="BH126" s="103"/>
      <c r="BI126" s="103"/>
      <c r="BJ126" s="103"/>
      <c r="BK126" s="103"/>
      <c r="BL126" s="103"/>
    </row>
    <row r="127" spans="1:64" ht="12.75">
      <c r="A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288"/>
      <c r="BF127" s="103"/>
      <c r="BG127" s="103"/>
      <c r="BH127" s="103"/>
      <c r="BI127" s="103"/>
      <c r="BJ127" s="103"/>
      <c r="BK127" s="103"/>
      <c r="BL127" s="103"/>
    </row>
    <row r="128" spans="1:64" ht="12.75">
      <c r="A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288"/>
      <c r="BF128" s="103"/>
      <c r="BG128" s="103"/>
      <c r="BH128" s="103"/>
      <c r="BI128" s="103"/>
      <c r="BJ128" s="103"/>
      <c r="BK128" s="103"/>
      <c r="BL128" s="103"/>
    </row>
    <row r="129" spans="1:64" ht="12.75">
      <c r="A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288"/>
      <c r="BF129" s="103"/>
      <c r="BG129" s="103"/>
      <c r="BH129" s="103"/>
      <c r="BI129" s="103"/>
      <c r="BJ129" s="103"/>
      <c r="BK129" s="103"/>
      <c r="BL129" s="103"/>
    </row>
    <row r="130" spans="1:64" ht="12.75">
      <c r="A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288"/>
      <c r="BF130" s="103"/>
      <c r="BG130" s="103"/>
      <c r="BH130" s="103"/>
      <c r="BI130" s="103"/>
      <c r="BJ130" s="103"/>
      <c r="BK130" s="103"/>
      <c r="BL130" s="103"/>
    </row>
    <row r="131" spans="1:64" ht="12.75">
      <c r="A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288"/>
      <c r="BF131" s="103"/>
      <c r="BG131" s="103"/>
      <c r="BH131" s="103"/>
      <c r="BI131" s="103"/>
      <c r="BJ131" s="103"/>
      <c r="BK131" s="103"/>
      <c r="BL131" s="103"/>
    </row>
    <row r="132" spans="1:64" ht="12.75">
      <c r="A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288"/>
      <c r="BF132" s="103"/>
      <c r="BG132" s="103"/>
      <c r="BH132" s="103"/>
      <c r="BI132" s="103"/>
      <c r="BJ132" s="103"/>
      <c r="BK132" s="103"/>
      <c r="BL132" s="103"/>
    </row>
    <row r="133" spans="1:64" ht="12.75">
      <c r="A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288"/>
      <c r="BF133" s="103"/>
      <c r="BG133" s="103"/>
      <c r="BH133" s="103"/>
      <c r="BI133" s="103"/>
      <c r="BJ133" s="103"/>
      <c r="BK133" s="103"/>
      <c r="BL133" s="103"/>
    </row>
    <row r="134" spans="1:64" ht="12.75">
      <c r="A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288"/>
      <c r="BF134" s="103"/>
      <c r="BG134" s="103"/>
      <c r="BH134" s="103"/>
      <c r="BI134" s="103"/>
      <c r="BJ134" s="103"/>
      <c r="BK134" s="103"/>
      <c r="BL134" s="103"/>
    </row>
    <row r="135" spans="1:64" ht="12.75">
      <c r="A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288"/>
      <c r="BF135" s="103"/>
      <c r="BG135" s="103"/>
      <c r="BH135" s="103"/>
      <c r="BI135" s="103"/>
      <c r="BJ135" s="103"/>
      <c r="BK135" s="103"/>
      <c r="BL135" s="103"/>
    </row>
    <row r="136" spans="1:64" ht="12.75">
      <c r="A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288"/>
      <c r="BF136" s="103"/>
      <c r="BG136" s="103"/>
      <c r="BH136" s="103"/>
      <c r="BI136" s="103"/>
      <c r="BJ136" s="103"/>
      <c r="BK136" s="103"/>
      <c r="BL136" s="103"/>
    </row>
    <row r="137" spans="1:64" ht="12.75">
      <c r="A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288"/>
      <c r="BF137" s="103"/>
      <c r="BG137" s="103"/>
      <c r="BH137" s="103"/>
      <c r="BI137" s="103"/>
      <c r="BJ137" s="103"/>
      <c r="BK137" s="103"/>
      <c r="BL137" s="103"/>
    </row>
    <row r="138" spans="1:64" ht="12.75">
      <c r="A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288"/>
      <c r="BF138" s="103"/>
      <c r="BG138" s="103"/>
      <c r="BH138" s="103"/>
      <c r="BI138" s="103"/>
      <c r="BJ138" s="103"/>
      <c r="BK138" s="103"/>
      <c r="BL138" s="103"/>
    </row>
    <row r="139" spans="1:64" ht="12.75">
      <c r="A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288"/>
      <c r="BF139" s="103"/>
      <c r="BG139" s="103"/>
      <c r="BH139" s="103"/>
      <c r="BI139" s="103"/>
      <c r="BJ139" s="103"/>
      <c r="BK139" s="103"/>
      <c r="BL139" s="103"/>
    </row>
    <row r="140" spans="1:64" ht="12.75">
      <c r="A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288"/>
      <c r="BF140" s="103"/>
      <c r="BG140" s="103"/>
      <c r="BH140" s="103"/>
      <c r="BI140" s="103"/>
      <c r="BJ140" s="103"/>
      <c r="BK140" s="103"/>
      <c r="BL140" s="103"/>
    </row>
    <row r="141" spans="1:64" ht="12.75">
      <c r="A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288"/>
      <c r="BF141" s="103"/>
      <c r="BG141" s="103"/>
      <c r="BH141" s="103"/>
      <c r="BI141" s="103"/>
      <c r="BJ141" s="103"/>
      <c r="BK141" s="103"/>
      <c r="BL141" s="103"/>
    </row>
    <row r="142" spans="1:64" ht="12.75">
      <c r="A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288"/>
      <c r="BF142" s="103"/>
      <c r="BG142" s="103"/>
      <c r="BH142" s="103"/>
      <c r="BI142" s="103"/>
      <c r="BJ142" s="103"/>
      <c r="BK142" s="103"/>
      <c r="BL142" s="103"/>
    </row>
    <row r="143" spans="1:64" ht="12.75">
      <c r="A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288"/>
      <c r="BF143" s="103"/>
      <c r="BG143" s="103"/>
      <c r="BH143" s="103"/>
      <c r="BI143" s="103"/>
      <c r="BJ143" s="103"/>
      <c r="BK143" s="103"/>
      <c r="BL143" s="103"/>
    </row>
    <row r="144" spans="1:64" ht="12.75">
      <c r="A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288"/>
      <c r="BF144" s="103"/>
      <c r="BG144" s="103"/>
      <c r="BH144" s="103"/>
      <c r="BI144" s="103"/>
      <c r="BJ144" s="103"/>
      <c r="BK144" s="103"/>
      <c r="BL144" s="103"/>
    </row>
    <row r="145" spans="1:64" ht="12.75">
      <c r="A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288"/>
      <c r="BF145" s="103"/>
      <c r="BG145" s="103"/>
      <c r="BH145" s="103"/>
      <c r="BI145" s="103"/>
      <c r="BJ145" s="103"/>
      <c r="BK145" s="103"/>
      <c r="BL145" s="103"/>
    </row>
    <row r="146" spans="1:64" ht="12.75">
      <c r="A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288"/>
      <c r="BF146" s="103"/>
      <c r="BG146" s="103"/>
      <c r="BH146" s="103"/>
      <c r="BI146" s="103"/>
      <c r="BJ146" s="103"/>
      <c r="BK146" s="103"/>
      <c r="BL146" s="103"/>
    </row>
    <row r="147" spans="1:64" ht="12.75">
      <c r="A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288"/>
      <c r="BF147" s="103"/>
      <c r="BG147" s="103"/>
      <c r="BH147" s="103"/>
      <c r="BI147" s="103"/>
      <c r="BJ147" s="103"/>
      <c r="BK147" s="103"/>
      <c r="BL147" s="103"/>
    </row>
    <row r="148" spans="1:64" ht="12.75">
      <c r="A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288"/>
      <c r="BF148" s="103"/>
      <c r="BG148" s="103"/>
      <c r="BH148" s="103"/>
      <c r="BI148" s="103"/>
      <c r="BJ148" s="103"/>
      <c r="BK148" s="103"/>
      <c r="BL148" s="103"/>
    </row>
    <row r="149" spans="1:64" ht="12.75">
      <c r="A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288"/>
      <c r="BF149" s="103"/>
      <c r="BG149" s="103"/>
      <c r="BH149" s="103"/>
      <c r="BI149" s="103"/>
      <c r="BJ149" s="103"/>
      <c r="BK149" s="103"/>
      <c r="BL149" s="103"/>
    </row>
    <row r="150" spans="1:64" ht="12.75">
      <c r="A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288"/>
      <c r="BF150" s="103"/>
      <c r="BG150" s="103"/>
      <c r="BH150" s="103"/>
      <c r="BI150" s="103"/>
      <c r="BJ150" s="103"/>
      <c r="BK150" s="103"/>
      <c r="BL150" s="103"/>
    </row>
    <row r="151" spans="1:64" ht="12.75">
      <c r="A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288"/>
      <c r="BF151" s="103"/>
      <c r="BG151" s="103"/>
      <c r="BH151" s="103"/>
      <c r="BI151" s="103"/>
      <c r="BJ151" s="103"/>
      <c r="BK151" s="103"/>
      <c r="BL151" s="103"/>
    </row>
    <row r="152" spans="1:64" ht="12.75">
      <c r="A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288"/>
      <c r="BF152" s="103"/>
      <c r="BG152" s="103"/>
      <c r="BH152" s="103"/>
      <c r="BI152" s="103"/>
      <c r="BJ152" s="103"/>
      <c r="BK152" s="103"/>
      <c r="BL152" s="103"/>
    </row>
    <row r="153" spans="1:64" ht="12.75">
      <c r="A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288"/>
      <c r="BF153" s="103"/>
      <c r="BG153" s="103"/>
      <c r="BH153" s="103"/>
      <c r="BI153" s="103"/>
      <c r="BJ153" s="103"/>
      <c r="BK153" s="103"/>
      <c r="BL153" s="103"/>
    </row>
    <row r="154" spans="1:64" ht="12.75">
      <c r="A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288"/>
      <c r="BF154" s="103"/>
      <c r="BG154" s="103"/>
      <c r="BH154" s="103"/>
      <c r="BI154" s="103"/>
      <c r="BJ154" s="103"/>
      <c r="BK154" s="103"/>
      <c r="BL154" s="103"/>
    </row>
    <row r="155" spans="1:64" ht="12.75">
      <c r="A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288"/>
      <c r="BF155" s="103"/>
      <c r="BG155" s="103"/>
      <c r="BH155" s="103"/>
      <c r="BI155" s="103"/>
      <c r="BJ155" s="103"/>
      <c r="BK155" s="103"/>
      <c r="BL155" s="103"/>
    </row>
    <row r="156" spans="1:64" ht="12.75">
      <c r="A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288"/>
      <c r="BF156" s="103"/>
      <c r="BG156" s="103"/>
      <c r="BH156" s="103"/>
      <c r="BI156" s="103"/>
      <c r="BJ156" s="103"/>
      <c r="BK156" s="103"/>
      <c r="BL156" s="103"/>
    </row>
    <row r="157" spans="1:64" ht="12.75">
      <c r="A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288"/>
      <c r="BF157" s="103"/>
      <c r="BG157" s="103"/>
      <c r="BH157" s="103"/>
      <c r="BI157" s="103"/>
      <c r="BJ157" s="103"/>
      <c r="BK157" s="103"/>
      <c r="BL157" s="103"/>
    </row>
    <row r="158" spans="1:64" ht="12.75">
      <c r="A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288"/>
      <c r="BF158" s="103"/>
      <c r="BG158" s="103"/>
      <c r="BH158" s="103"/>
      <c r="BI158" s="103"/>
      <c r="BJ158" s="103"/>
      <c r="BK158" s="103"/>
      <c r="BL158" s="103"/>
    </row>
    <row r="159" spans="1:64" ht="12.75">
      <c r="A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288"/>
      <c r="BF159" s="103"/>
      <c r="BG159" s="103"/>
      <c r="BH159" s="103"/>
      <c r="BI159" s="103"/>
      <c r="BJ159" s="103"/>
      <c r="BK159" s="103"/>
      <c r="BL159" s="103"/>
    </row>
    <row r="160" spans="1:64" ht="12.75">
      <c r="A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288"/>
      <c r="BF160" s="103"/>
      <c r="BG160" s="103"/>
      <c r="BH160" s="103"/>
      <c r="BI160" s="103"/>
      <c r="BJ160" s="103"/>
      <c r="BK160" s="103"/>
      <c r="BL160" s="103"/>
    </row>
    <row r="161" spans="1:64" ht="12.75">
      <c r="A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288"/>
      <c r="BF161" s="103"/>
      <c r="BG161" s="103"/>
      <c r="BH161" s="103"/>
      <c r="BI161" s="103"/>
      <c r="BJ161" s="103"/>
      <c r="BK161" s="103"/>
      <c r="BL161" s="103"/>
    </row>
    <row r="162" spans="1:64" ht="12.75">
      <c r="A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288"/>
      <c r="BF162" s="103"/>
      <c r="BG162" s="103"/>
      <c r="BH162" s="103"/>
      <c r="BI162" s="103"/>
      <c r="BJ162" s="103"/>
      <c r="BK162" s="103"/>
      <c r="BL162" s="103"/>
    </row>
    <row r="163" spans="1:64" ht="12.75">
      <c r="A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288"/>
      <c r="BF163" s="103"/>
      <c r="BG163" s="103"/>
      <c r="BH163" s="103"/>
      <c r="BI163" s="103"/>
      <c r="BJ163" s="103"/>
      <c r="BK163" s="103"/>
      <c r="BL163" s="103"/>
    </row>
    <row r="164" spans="1:64" ht="12.75">
      <c r="A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288"/>
      <c r="BF164" s="103"/>
      <c r="BG164" s="103"/>
      <c r="BH164" s="103"/>
      <c r="BI164" s="103"/>
      <c r="BJ164" s="103"/>
      <c r="BK164" s="103"/>
      <c r="BL164" s="103"/>
    </row>
    <row r="165" spans="58:64" ht="12.75">
      <c r="BF165" s="103"/>
      <c r="BG165" s="103"/>
      <c r="BH165" s="103"/>
      <c r="BI165" s="103"/>
      <c r="BJ165" s="103"/>
      <c r="BK165" s="103"/>
      <c r="BL165" s="103"/>
    </row>
    <row r="166" spans="59:64" ht="12.75">
      <c r="BG166" s="103"/>
      <c r="BH166" s="103"/>
      <c r="BI166" s="103"/>
      <c r="BJ166" s="103"/>
      <c r="BK166" s="103"/>
      <c r="BL166" s="103"/>
    </row>
  </sheetData>
  <printOptions/>
  <pageMargins left="1" right="0.5" top="0.43" bottom="0.31" header="0.25" footer="0.22"/>
  <pageSetup horizontalDpi="300" verticalDpi="300" orientation="landscape" paperSize="9" scale="50" r:id="rId3"/>
  <headerFooter alignWithMargins="0">
    <oddFooter>&amp;L&amp;"Times New Roman,Regular"&amp;8&amp;F   &amp;A&amp;C&amp;"Times New Roman,Regular"&amp;8&amp;P&amp;R&amp;"Times New Roman,Regular"&amp;8&amp;D   &amp;T</oddFooter>
  </headerFooter>
  <colBreaks count="4" manualBreakCount="4">
    <brk id="11" max="65535" man="1"/>
    <brk id="44" max="65535" man="1"/>
    <brk id="57" max="65535" man="1"/>
    <brk id="66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168"/>
  <sheetViews>
    <sheetView tabSelected="1" zoomScale="75" zoomScaleNormal="75" workbookViewId="0" topLeftCell="A61">
      <selection activeCell="J76" sqref="J76"/>
    </sheetView>
  </sheetViews>
  <sheetFormatPr defaultColWidth="9.140625" defaultRowHeight="12.75"/>
  <cols>
    <col min="1" max="1" width="4.00390625" style="0" customWidth="1"/>
    <col min="2" max="2" width="5.57421875" style="130" customWidth="1"/>
    <col min="3" max="3" width="2.57421875" style="130" customWidth="1"/>
    <col min="4" max="4" width="3.421875" style="130" customWidth="1"/>
    <col min="5" max="5" width="17.7109375" style="130" customWidth="1"/>
    <col min="6" max="6" width="15.28125" style="130" customWidth="1"/>
    <col min="7" max="7" width="16.7109375" style="131" customWidth="1"/>
    <col min="8" max="8" width="20.00390625" style="131" customWidth="1"/>
    <col min="9" max="9" width="16.28125" style="131" customWidth="1"/>
    <col min="10" max="10" width="18.7109375" style="131" bestFit="1" customWidth="1"/>
    <col min="11" max="11" width="3.00390625" style="130" customWidth="1"/>
    <col min="12" max="12" width="9.421875" style="130" bestFit="1" customWidth="1"/>
    <col min="13" max="13" width="13.57421875" style="130" customWidth="1"/>
    <col min="14" max="14" width="17.421875" style="130" bestFit="1" customWidth="1"/>
    <col min="15" max="16" width="7.8515625" style="130" customWidth="1"/>
    <col min="17" max="17" width="8.8515625" style="130" customWidth="1"/>
    <col min="18" max="18" width="14.28125" style="0" bestFit="1" customWidth="1"/>
    <col min="19" max="19" width="14.57421875" style="0" bestFit="1" customWidth="1"/>
  </cols>
  <sheetData>
    <row r="3" spans="3:10" ht="30" customHeight="1">
      <c r="C3" s="398"/>
      <c r="D3" s="399"/>
      <c r="E3" s="400" t="s">
        <v>236</v>
      </c>
      <c r="F3" s="399"/>
      <c r="G3" s="401"/>
      <c r="H3" s="401"/>
      <c r="I3" s="401"/>
      <c r="J3" s="402"/>
    </row>
    <row r="5" spans="2:6" ht="15.75">
      <c r="B5" s="131"/>
      <c r="C5" s="131"/>
      <c r="D5" s="131"/>
      <c r="E5" s="131"/>
      <c r="F5" s="131"/>
    </row>
    <row r="6" spans="2:7" ht="15.75">
      <c r="B6" s="131"/>
      <c r="D6" s="131" t="s">
        <v>299</v>
      </c>
      <c r="E6" s="131"/>
      <c r="F6" s="131"/>
      <c r="G6" s="131" t="s">
        <v>309</v>
      </c>
    </row>
    <row r="7" spans="2:6" ht="15.75">
      <c r="B7" s="131"/>
      <c r="D7" s="131" t="s">
        <v>237</v>
      </c>
      <c r="E7" s="131"/>
      <c r="F7" s="131"/>
    </row>
    <row r="8" spans="2:7" ht="15.75">
      <c r="B8" s="131"/>
      <c r="D8" s="131" t="s">
        <v>300</v>
      </c>
      <c r="E8" s="131"/>
      <c r="F8" s="131"/>
      <c r="G8" s="131" t="s">
        <v>386</v>
      </c>
    </row>
    <row r="9" spans="2:7" ht="15.75">
      <c r="B9" s="131"/>
      <c r="C9" s="131" t="s">
        <v>238</v>
      </c>
      <c r="D9" s="131" t="s">
        <v>301</v>
      </c>
      <c r="E9" s="131"/>
      <c r="F9" s="131"/>
      <c r="G9" s="132" t="s">
        <v>306</v>
      </c>
    </row>
    <row r="10" spans="2:7" ht="15.75">
      <c r="B10" s="131"/>
      <c r="C10" s="131" t="s">
        <v>238</v>
      </c>
      <c r="D10" s="131" t="s">
        <v>302</v>
      </c>
      <c r="E10" s="131"/>
      <c r="F10" s="131"/>
      <c r="G10" s="131" t="s">
        <v>307</v>
      </c>
    </row>
    <row r="11" spans="2:7" ht="15.75">
      <c r="B11" s="131"/>
      <c r="C11" s="131" t="s">
        <v>239</v>
      </c>
      <c r="D11" s="131" t="s">
        <v>303</v>
      </c>
      <c r="E11" s="131"/>
      <c r="F11" s="131"/>
      <c r="G11" s="344" t="s">
        <v>308</v>
      </c>
    </row>
    <row r="12" spans="2:7" ht="15.75">
      <c r="B12" s="131"/>
      <c r="C12" s="131" t="s">
        <v>238</v>
      </c>
      <c r="D12" s="131" t="s">
        <v>304</v>
      </c>
      <c r="E12" s="131"/>
      <c r="F12" s="131"/>
      <c r="G12" s="131" t="s">
        <v>387</v>
      </c>
    </row>
    <row r="13" spans="2:7" ht="15.75">
      <c r="B13" s="131"/>
      <c r="C13" s="131" t="s">
        <v>238</v>
      </c>
      <c r="D13" s="131" t="s">
        <v>305</v>
      </c>
      <c r="E13" s="131"/>
      <c r="F13" s="131"/>
      <c r="G13" s="131" t="s">
        <v>388</v>
      </c>
    </row>
    <row r="14" spans="2:6" ht="15.75">
      <c r="B14" s="131"/>
      <c r="C14" s="131"/>
      <c r="D14" s="131"/>
      <c r="E14" s="131"/>
      <c r="F14" s="131"/>
    </row>
    <row r="15" spans="2:6" ht="15.75">
      <c r="B15" s="131"/>
      <c r="C15" s="131"/>
      <c r="D15" s="131"/>
      <c r="E15" s="131"/>
      <c r="F15" s="131"/>
    </row>
    <row r="16" spans="2:6" ht="15.75">
      <c r="B16" s="131"/>
      <c r="C16" s="131" t="s">
        <v>238</v>
      </c>
      <c r="D16" s="132" t="s">
        <v>240</v>
      </c>
      <c r="E16" s="131"/>
      <c r="F16" s="309" t="s">
        <v>260</v>
      </c>
    </row>
    <row r="17" spans="2:6" ht="15.75">
      <c r="B17" s="131"/>
      <c r="C17" s="131"/>
      <c r="D17" s="132"/>
      <c r="E17" s="131"/>
      <c r="F17" s="131"/>
    </row>
    <row r="18" spans="2:10" ht="15.75">
      <c r="B18" s="131"/>
      <c r="C18" s="131" t="s">
        <v>238</v>
      </c>
      <c r="D18" s="132" t="s">
        <v>241</v>
      </c>
      <c r="E18" s="131"/>
      <c r="F18" s="323" t="s">
        <v>252</v>
      </c>
      <c r="G18" s="318" t="s">
        <v>253</v>
      </c>
      <c r="H18" s="318" t="s">
        <v>254</v>
      </c>
      <c r="I18" s="318" t="s">
        <v>255</v>
      </c>
      <c r="J18" s="310" t="s">
        <v>256</v>
      </c>
    </row>
    <row r="19" spans="2:7" ht="15.75">
      <c r="B19" s="131"/>
      <c r="C19" s="131"/>
      <c r="D19" s="132"/>
      <c r="E19" s="131"/>
      <c r="F19" s="308"/>
      <c r="G19" s="308"/>
    </row>
    <row r="20" spans="2:7" ht="15.75">
      <c r="B20" s="131"/>
      <c r="C20" s="131"/>
      <c r="D20" s="132"/>
      <c r="E20" s="131" t="s">
        <v>242</v>
      </c>
      <c r="F20" s="308"/>
      <c r="G20" s="308"/>
    </row>
    <row r="21" spans="2:7" ht="15.75">
      <c r="B21" s="131"/>
      <c r="C21" s="131"/>
      <c r="D21" s="132"/>
      <c r="E21" s="131"/>
      <c r="F21" s="308" t="s">
        <v>141</v>
      </c>
      <c r="G21" s="308"/>
    </row>
    <row r="22" spans="2:9" ht="15.75">
      <c r="B22" s="131"/>
      <c r="C22" s="131"/>
      <c r="D22" s="132"/>
      <c r="E22" s="131" t="s">
        <v>257</v>
      </c>
      <c r="F22" s="131" t="s">
        <v>258</v>
      </c>
      <c r="G22" s="320"/>
      <c r="H22" s="324" t="s">
        <v>259</v>
      </c>
      <c r="I22" s="324"/>
    </row>
    <row r="23" spans="2:6" ht="15.75">
      <c r="B23" s="131"/>
      <c r="C23" s="131"/>
      <c r="D23" s="131"/>
      <c r="E23" s="131"/>
      <c r="F23" s="131"/>
    </row>
    <row r="24" spans="2:14" ht="15.75">
      <c r="B24" s="132" t="s">
        <v>119</v>
      </c>
      <c r="C24" s="131"/>
      <c r="D24" s="131"/>
      <c r="E24" s="131"/>
      <c r="F24" s="131"/>
      <c r="M24" s="409" t="s">
        <v>143</v>
      </c>
      <c r="N24" s="409"/>
    </row>
    <row r="25" spans="2:14" ht="15.75">
      <c r="B25" s="131"/>
      <c r="C25" s="131"/>
      <c r="D25" s="131"/>
      <c r="E25" s="131"/>
      <c r="F25" s="131"/>
      <c r="M25" s="409" t="s">
        <v>144</v>
      </c>
      <c r="N25" s="409"/>
    </row>
    <row r="26" spans="2:14" ht="15.75">
      <c r="B26" s="300"/>
      <c r="C26" s="294"/>
      <c r="D26" s="294"/>
      <c r="E26" s="294"/>
      <c r="F26" s="294"/>
      <c r="G26" s="440" t="s">
        <v>312</v>
      </c>
      <c r="H26" s="441"/>
      <c r="I26" s="442" t="s">
        <v>317</v>
      </c>
      <c r="J26" s="443"/>
      <c r="M26" s="412" t="s">
        <v>167</v>
      </c>
      <c r="N26" s="412" t="s">
        <v>315</v>
      </c>
    </row>
    <row r="27" spans="2:14" ht="12.75">
      <c r="B27" s="302"/>
      <c r="C27" s="120"/>
      <c r="D27" s="120"/>
      <c r="E27" s="120"/>
      <c r="F27" s="120"/>
      <c r="G27" s="363" t="s">
        <v>313</v>
      </c>
      <c r="H27" s="363" t="s">
        <v>315</v>
      </c>
      <c r="I27" s="364" t="s">
        <v>313</v>
      </c>
      <c r="J27" s="364" t="s">
        <v>315</v>
      </c>
      <c r="M27" s="410" t="s">
        <v>165</v>
      </c>
      <c r="N27" s="410" t="s">
        <v>316</v>
      </c>
    </row>
    <row r="28" spans="2:14" ht="12.75">
      <c r="B28" s="302"/>
      <c r="C28" s="120"/>
      <c r="D28" s="120"/>
      <c r="E28" s="120"/>
      <c r="F28" s="120"/>
      <c r="G28" s="365" t="s">
        <v>142</v>
      </c>
      <c r="H28" s="365" t="s">
        <v>316</v>
      </c>
      <c r="I28" s="366" t="s">
        <v>318</v>
      </c>
      <c r="J28" s="366" t="s">
        <v>316</v>
      </c>
      <c r="M28" s="410" t="s">
        <v>166</v>
      </c>
      <c r="N28" s="410" t="s">
        <v>168</v>
      </c>
    </row>
    <row r="29" spans="2:14" ht="12.75">
      <c r="B29" s="302"/>
      <c r="C29" s="120"/>
      <c r="D29" s="120"/>
      <c r="E29" s="120"/>
      <c r="F29" s="120"/>
      <c r="G29" s="367"/>
      <c r="H29" s="365" t="s">
        <v>314</v>
      </c>
      <c r="I29" s="368"/>
      <c r="J29" s="366" t="s">
        <v>319</v>
      </c>
      <c r="M29" s="410" t="s">
        <v>314</v>
      </c>
      <c r="N29" s="410" t="s">
        <v>169</v>
      </c>
    </row>
    <row r="30" spans="2:14" ht="12.75">
      <c r="B30" s="302"/>
      <c r="C30" s="120"/>
      <c r="D30" s="120"/>
      <c r="E30" s="120"/>
      <c r="F30" s="120"/>
      <c r="G30" s="367"/>
      <c r="H30" s="365"/>
      <c r="I30" s="368"/>
      <c r="J30" s="366"/>
      <c r="M30" s="411"/>
      <c r="N30" s="411"/>
    </row>
    <row r="31" spans="2:14" ht="12.75">
      <c r="B31" s="302"/>
      <c r="C31" s="120"/>
      <c r="D31" s="120"/>
      <c r="E31" s="120"/>
      <c r="F31" s="120"/>
      <c r="G31" s="367"/>
      <c r="H31" s="365"/>
      <c r="I31" s="368"/>
      <c r="J31" s="366"/>
      <c r="M31" s="411"/>
      <c r="N31" s="411"/>
    </row>
    <row r="32" spans="2:14" ht="12.75">
      <c r="B32" s="302"/>
      <c r="C32" s="120"/>
      <c r="D32" s="120"/>
      <c r="E32" s="120"/>
      <c r="F32" s="120"/>
      <c r="G32" s="369">
        <v>36707</v>
      </c>
      <c r="H32" s="369">
        <v>36341</v>
      </c>
      <c r="I32" s="370">
        <f>+G32</f>
        <v>36707</v>
      </c>
      <c r="J32" s="370">
        <f>+H32</f>
        <v>36341</v>
      </c>
      <c r="M32" s="369">
        <v>36616</v>
      </c>
      <c r="N32" s="369">
        <v>36341</v>
      </c>
    </row>
    <row r="33" spans="2:14" ht="12.75">
      <c r="B33" s="295"/>
      <c r="C33" s="120"/>
      <c r="D33" s="120"/>
      <c r="E33" s="120"/>
      <c r="F33" s="120"/>
      <c r="G33" s="371" t="s">
        <v>66</v>
      </c>
      <c r="H33" s="371" t="s">
        <v>66</v>
      </c>
      <c r="I33" s="372" t="s">
        <v>66</v>
      </c>
      <c r="J33" s="372" t="s">
        <v>66</v>
      </c>
      <c r="M33" s="371" t="s">
        <v>66</v>
      </c>
      <c r="N33" s="371" t="s">
        <v>66</v>
      </c>
    </row>
    <row r="34" spans="2:14" ht="12.75">
      <c r="B34" s="300"/>
      <c r="C34" s="294"/>
      <c r="D34" s="301"/>
      <c r="E34" s="294"/>
      <c r="F34" s="294"/>
      <c r="G34" s="325"/>
      <c r="H34" s="325"/>
      <c r="I34" s="345"/>
      <c r="J34" s="345"/>
      <c r="M34" s="325"/>
      <c r="N34" s="325"/>
    </row>
    <row r="35" spans="2:14" ht="12.75">
      <c r="B35" s="316" t="s">
        <v>273</v>
      </c>
      <c r="C35" s="291" t="s">
        <v>274</v>
      </c>
      <c r="D35" s="307"/>
      <c r="E35" s="291" t="s">
        <v>275</v>
      </c>
      <c r="F35" s="291"/>
      <c r="G35" s="326">
        <v>9113.239119999998</v>
      </c>
      <c r="H35" s="431">
        <v>0</v>
      </c>
      <c r="I35" s="346">
        <v>33132.13512</v>
      </c>
      <c r="J35" s="346">
        <v>95079.25033000001</v>
      </c>
      <c r="M35" s="326">
        <v>24018.896</v>
      </c>
      <c r="N35" s="326">
        <v>48201.81554</v>
      </c>
    </row>
    <row r="36" spans="2:14" ht="12.75">
      <c r="B36" s="295"/>
      <c r="C36" s="296"/>
      <c r="D36" s="312"/>
      <c r="E36" s="296"/>
      <c r="F36" s="296"/>
      <c r="G36" s="327"/>
      <c r="H36" s="327"/>
      <c r="I36" s="347"/>
      <c r="J36" s="347"/>
      <c r="M36" s="327"/>
      <c r="N36" s="327"/>
    </row>
    <row r="37" spans="2:19" ht="12.75">
      <c r="B37" s="295"/>
      <c r="C37" s="297" t="s">
        <v>276</v>
      </c>
      <c r="D37" s="312"/>
      <c r="E37" s="297" t="s">
        <v>310</v>
      </c>
      <c r="F37" s="297"/>
      <c r="G37" s="326">
        <f>H37-M37</f>
        <v>0</v>
      </c>
      <c r="H37" s="326">
        <v>0</v>
      </c>
      <c r="I37" s="347">
        <v>0</v>
      </c>
      <c r="J37" s="347">
        <f>+H37</f>
        <v>0</v>
      </c>
      <c r="M37" s="327">
        <v>0</v>
      </c>
      <c r="N37" s="327">
        <v>0</v>
      </c>
      <c r="R37" t="s">
        <v>462</v>
      </c>
      <c r="S37" t="s">
        <v>463</v>
      </c>
    </row>
    <row r="38" spans="2:19" ht="12.75">
      <c r="B38" s="300"/>
      <c r="C38" s="294" t="s">
        <v>278</v>
      </c>
      <c r="D38" s="301"/>
      <c r="E38" s="294" t="s">
        <v>311</v>
      </c>
      <c r="F38" s="294"/>
      <c r="G38" s="330">
        <f>I38-766</f>
        <v>3337.956</v>
      </c>
      <c r="H38" s="330">
        <v>0</v>
      </c>
      <c r="I38" s="348">
        <f>4103956/1000</f>
        <v>4103.956</v>
      </c>
      <c r="J38" s="348">
        <v>3345</v>
      </c>
      <c r="M38" s="328">
        <v>766.3846</v>
      </c>
      <c r="N38" s="328">
        <v>573.9570900000001</v>
      </c>
      <c r="R38" s="117" t="s">
        <v>464</v>
      </c>
      <c r="S38" s="117" t="s">
        <v>464</v>
      </c>
    </row>
    <row r="39" spans="2:14" ht="12.75">
      <c r="B39" s="293" t="s">
        <v>277</v>
      </c>
      <c r="C39" s="294" t="s">
        <v>274</v>
      </c>
      <c r="D39" s="301"/>
      <c r="E39" s="294" t="s">
        <v>320</v>
      </c>
      <c r="F39" s="294"/>
      <c r="G39" s="328"/>
      <c r="H39" s="328"/>
      <c r="I39" s="348"/>
      <c r="J39" s="348"/>
      <c r="M39" s="328"/>
      <c r="N39" s="328"/>
    </row>
    <row r="40" spans="2:19" ht="12.75">
      <c r="B40" s="302"/>
      <c r="C40" s="291"/>
      <c r="D40" s="307"/>
      <c r="E40" s="291" t="s">
        <v>321</v>
      </c>
      <c r="F40" s="291"/>
      <c r="G40" s="326"/>
      <c r="H40" s="326"/>
      <c r="I40" s="346"/>
      <c r="J40" s="346"/>
      <c r="M40" s="326"/>
      <c r="N40" s="326"/>
      <c r="R40" s="119">
        <v>4416</v>
      </c>
      <c r="S40" s="119">
        <f>+R40/2</f>
        <v>2208</v>
      </c>
    </row>
    <row r="41" spans="2:19" ht="12.75">
      <c r="B41" s="302"/>
      <c r="C41" s="291"/>
      <c r="D41" s="307"/>
      <c r="E41" s="291" t="s">
        <v>322</v>
      </c>
      <c r="F41" s="291"/>
      <c r="G41" s="326"/>
      <c r="H41" s="326"/>
      <c r="I41" s="346"/>
      <c r="J41" s="346"/>
      <c r="M41" s="326"/>
      <c r="N41" s="326"/>
      <c r="Q41" s="130" t="s">
        <v>459</v>
      </c>
      <c r="R41" s="119">
        <v>29473</v>
      </c>
      <c r="S41" s="119">
        <f aca="true" t="shared" si="0" ref="S41:S46">+R41/2</f>
        <v>14736.5</v>
      </c>
    </row>
    <row r="42" spans="2:19" ht="12.75">
      <c r="B42" s="302"/>
      <c r="C42" s="291"/>
      <c r="D42" s="307"/>
      <c r="E42" s="292" t="s">
        <v>323</v>
      </c>
      <c r="F42" s="292"/>
      <c r="G42" s="326"/>
      <c r="H42" s="326"/>
      <c r="I42" s="346"/>
      <c r="J42" s="346"/>
      <c r="M42" s="329"/>
      <c r="N42" s="326"/>
      <c r="Q42" s="130" t="s">
        <v>458</v>
      </c>
      <c r="R42" s="119">
        <v>1363</v>
      </c>
      <c r="S42" s="119">
        <f t="shared" si="0"/>
        <v>681.5</v>
      </c>
    </row>
    <row r="43" spans="2:19" ht="12.75">
      <c r="B43" s="295"/>
      <c r="C43" s="297"/>
      <c r="D43" s="312"/>
      <c r="E43" s="297" t="s">
        <v>324</v>
      </c>
      <c r="F43" s="297"/>
      <c r="G43" s="327">
        <f>I43-M43</f>
        <v>2960.186514493803</v>
      </c>
      <c r="H43" s="327">
        <v>0</v>
      </c>
      <c r="I43" s="347">
        <f>'Con P&amp;L'!I101/1000</f>
        <v>2991.500260000003</v>
      </c>
      <c r="J43" s="347">
        <f>-437970+5182+341784</f>
        <v>-91004</v>
      </c>
      <c r="M43" s="327">
        <v>31.313745506200007</v>
      </c>
      <c r="N43" s="327">
        <v>4415.961501</v>
      </c>
      <c r="R43" s="119">
        <f>+R40-R41-R42</f>
        <v>-26420</v>
      </c>
      <c r="S43" s="119">
        <f>+S40-S41-S42</f>
        <v>-13210</v>
      </c>
    </row>
    <row r="44" spans="2:19" ht="12.75">
      <c r="B44" s="295"/>
      <c r="C44" s="297" t="s">
        <v>276</v>
      </c>
      <c r="D44" s="312"/>
      <c r="E44" s="297" t="s">
        <v>325</v>
      </c>
      <c r="F44" s="297"/>
      <c r="G44" s="330">
        <f>I44-M44</f>
        <v>-21478.588004493802</v>
      </c>
      <c r="H44" s="330">
        <v>0</v>
      </c>
      <c r="I44" s="347">
        <f>-'Con P&amp;L'!I103/1000</f>
        <v>-66118.3756</v>
      </c>
      <c r="J44" s="347">
        <v>-100800</v>
      </c>
      <c r="L44" s="378"/>
      <c r="M44" s="327">
        <v>-44639.7875955062</v>
      </c>
      <c r="N44" s="327">
        <v>-29472.699690999998</v>
      </c>
      <c r="O44" s="378"/>
      <c r="P44" s="378"/>
      <c r="Q44" s="130" t="s">
        <v>457</v>
      </c>
      <c r="R44" s="119">
        <v>1954</v>
      </c>
      <c r="S44" s="119">
        <f t="shared" si="0"/>
        <v>977</v>
      </c>
    </row>
    <row r="45" spans="2:19" ht="12.75">
      <c r="B45" s="295"/>
      <c r="C45" s="299" t="s">
        <v>278</v>
      </c>
      <c r="D45" s="312"/>
      <c r="E45" s="297" t="s">
        <v>326</v>
      </c>
      <c r="F45" s="297"/>
      <c r="G45" s="330">
        <f>I45-M45</f>
        <v>-421.50769000000014</v>
      </c>
      <c r="H45" s="330">
        <v>0</v>
      </c>
      <c r="I45" s="347">
        <f>-'Con P&amp;L'!I106/1000</f>
        <v>-2197.8503100000003</v>
      </c>
      <c r="J45" s="347">
        <v>-5182</v>
      </c>
      <c r="L45" s="378"/>
      <c r="M45" s="327">
        <v>-1776.3426200000001</v>
      </c>
      <c r="N45" s="327">
        <v>-1363.28882</v>
      </c>
      <c r="O45" s="378"/>
      <c r="P45" s="378"/>
      <c r="R45" s="119">
        <f>+R43-R44</f>
        <v>-28374</v>
      </c>
      <c r="S45" s="119">
        <f>+S43-S44</f>
        <v>-14187</v>
      </c>
    </row>
    <row r="46" spans="2:19" ht="12.75">
      <c r="B46" s="295"/>
      <c r="C46" s="297" t="s">
        <v>279</v>
      </c>
      <c r="D46" s="312"/>
      <c r="E46" s="297" t="s">
        <v>327</v>
      </c>
      <c r="F46" s="297"/>
      <c r="G46" s="330">
        <f>I46-M46</f>
        <v>0</v>
      </c>
      <c r="H46" s="330">
        <v>0</v>
      </c>
      <c r="I46" s="347">
        <f>'Con P&amp;L'!I20/1000</f>
        <v>468.44074</v>
      </c>
      <c r="J46" s="347">
        <v>-341784</v>
      </c>
      <c r="L46" s="378"/>
      <c r="M46" s="327">
        <v>468.44074</v>
      </c>
      <c r="N46" s="327">
        <v>0</v>
      </c>
      <c r="O46" s="378"/>
      <c r="P46" s="378"/>
      <c r="Q46" s="130" t="s">
        <v>460</v>
      </c>
      <c r="R46" s="119">
        <v>-214</v>
      </c>
      <c r="S46" s="119">
        <f t="shared" si="0"/>
        <v>-107</v>
      </c>
    </row>
    <row r="47" spans="2:19" ht="12.75">
      <c r="B47" s="302"/>
      <c r="C47" s="291" t="s">
        <v>283</v>
      </c>
      <c r="D47" s="307"/>
      <c r="E47" s="291" t="s">
        <v>218</v>
      </c>
      <c r="F47" s="291"/>
      <c r="G47" s="326"/>
      <c r="H47" s="326"/>
      <c r="I47" s="346"/>
      <c r="J47" s="346"/>
      <c r="M47" s="326"/>
      <c r="N47" s="326"/>
      <c r="R47" s="119">
        <f>+R45-R46</f>
        <v>-28160</v>
      </c>
      <c r="S47" s="119">
        <f>+S45-S46</f>
        <v>-14080</v>
      </c>
    </row>
    <row r="48" spans="2:14" ht="12.75">
      <c r="B48" s="302"/>
      <c r="C48" s="291"/>
      <c r="D48" s="307"/>
      <c r="E48" s="291" t="s">
        <v>219</v>
      </c>
      <c r="F48" s="291"/>
      <c r="G48" s="326"/>
      <c r="H48" s="326"/>
      <c r="I48" s="346"/>
      <c r="J48" s="346"/>
      <c r="M48" s="326"/>
      <c r="N48" s="326"/>
    </row>
    <row r="49" spans="2:14" ht="12.75">
      <c r="B49" s="302"/>
      <c r="C49" s="291"/>
      <c r="D49" s="307"/>
      <c r="E49" s="291" t="s">
        <v>220</v>
      </c>
      <c r="F49" s="291"/>
      <c r="G49" s="326"/>
      <c r="H49" s="326"/>
      <c r="I49" s="346"/>
      <c r="J49" s="346"/>
      <c r="M49" s="326"/>
      <c r="N49" s="326"/>
    </row>
    <row r="50" spans="2:19" ht="12.75">
      <c r="B50" s="302"/>
      <c r="C50" s="291"/>
      <c r="D50" s="307"/>
      <c r="E50" s="291" t="s">
        <v>221</v>
      </c>
      <c r="F50" s="291"/>
      <c r="G50" s="326"/>
      <c r="H50" s="326"/>
      <c r="I50" s="346"/>
      <c r="J50" s="346"/>
      <c r="M50" s="326"/>
      <c r="N50" s="326"/>
      <c r="Q50" t="s">
        <v>461</v>
      </c>
      <c r="R50" s="119">
        <v>202780</v>
      </c>
      <c r="S50" s="122">
        <f>+R50-S47</f>
        <v>216860</v>
      </c>
    </row>
    <row r="51" spans="2:14" ht="12.75">
      <c r="B51" s="302"/>
      <c r="C51" s="291"/>
      <c r="D51" s="307"/>
      <c r="E51" s="291" t="s">
        <v>222</v>
      </c>
      <c r="F51" s="291"/>
      <c r="G51" s="326"/>
      <c r="H51" s="326"/>
      <c r="I51" s="346"/>
      <c r="J51" s="346"/>
      <c r="M51" s="326"/>
      <c r="N51" s="326"/>
    </row>
    <row r="52" spans="2:19" ht="12.75">
      <c r="B52" s="302"/>
      <c r="C52" s="291"/>
      <c r="D52" s="307"/>
      <c r="E52" s="291" t="s">
        <v>223</v>
      </c>
      <c r="F52" s="291"/>
      <c r="G52" s="326"/>
      <c r="H52" s="326"/>
      <c r="I52" s="346"/>
      <c r="J52" s="346"/>
      <c r="M52" s="326"/>
      <c r="N52" s="326"/>
      <c r="Q52" s="130" t="s">
        <v>465</v>
      </c>
      <c r="R52" s="177">
        <f>+R50/188275</f>
        <v>1.0770415615456115</v>
      </c>
      <c r="S52" s="177">
        <f>+S50/188275</f>
        <v>1.1518257867481079</v>
      </c>
    </row>
    <row r="53" spans="2:14" ht="12.75">
      <c r="B53" s="302"/>
      <c r="C53" s="291"/>
      <c r="D53" s="307"/>
      <c r="E53" s="291" t="s">
        <v>224</v>
      </c>
      <c r="F53" s="291"/>
      <c r="G53" s="326">
        <f>(+G43+G44+G45+G46)</f>
        <v>-18939.90918</v>
      </c>
      <c r="H53" s="326">
        <f>(+H43+H44+H45+H46)</f>
        <v>0</v>
      </c>
      <c r="I53" s="346">
        <f>(+I43+I44+I45+I46)</f>
        <v>-64856.28491</v>
      </c>
      <c r="J53" s="346">
        <f>(+J43+J44+J45+J46)</f>
        <v>-538770</v>
      </c>
      <c r="M53" s="326">
        <v>-45916.37573</v>
      </c>
      <c r="N53" s="326">
        <v>-26420.027009999998</v>
      </c>
    </row>
    <row r="54" spans="2:16" ht="12.75">
      <c r="B54" s="300"/>
      <c r="C54" s="294" t="s">
        <v>286</v>
      </c>
      <c r="D54" s="301"/>
      <c r="E54" s="294" t="s">
        <v>225</v>
      </c>
      <c r="F54" s="294"/>
      <c r="G54" s="328"/>
      <c r="H54" s="328"/>
      <c r="I54" s="348"/>
      <c r="J54" s="348"/>
      <c r="L54" s="378"/>
      <c r="M54" s="328"/>
      <c r="N54" s="328"/>
      <c r="O54" s="378"/>
      <c r="P54" s="378"/>
    </row>
    <row r="55" spans="2:14" ht="12.75">
      <c r="B55" s="302"/>
      <c r="C55" s="291"/>
      <c r="D55" s="307"/>
      <c r="E55" s="291" t="s">
        <v>226</v>
      </c>
      <c r="F55" s="291"/>
      <c r="G55" s="326">
        <f>I55-M55</f>
        <v>721.7863779999998</v>
      </c>
      <c r="H55" s="326">
        <v>0</v>
      </c>
      <c r="I55" s="346">
        <f>'Con P&amp;L'!I17/1000</f>
        <v>2714.711678</v>
      </c>
      <c r="J55" s="346">
        <v>-617</v>
      </c>
      <c r="M55" s="326">
        <v>1992.9253000000003</v>
      </c>
      <c r="N55" s="326">
        <v>214.337</v>
      </c>
    </row>
    <row r="56" spans="2:14" ht="12.75">
      <c r="B56" s="300"/>
      <c r="C56" s="294" t="s">
        <v>289</v>
      </c>
      <c r="D56" s="301"/>
      <c r="E56" s="294" t="s">
        <v>73</v>
      </c>
      <c r="F56" s="294"/>
      <c r="G56" s="328"/>
      <c r="H56" s="328"/>
      <c r="I56" s="348"/>
      <c r="J56" s="348"/>
      <c r="M56" s="328"/>
      <c r="N56" s="328"/>
    </row>
    <row r="57" spans="2:14" ht="12.75">
      <c r="B57" s="302"/>
      <c r="C57" s="291"/>
      <c r="D57" s="307"/>
      <c r="E57" s="291" t="s">
        <v>74</v>
      </c>
      <c r="F57" s="291"/>
      <c r="G57" s="326">
        <f>+G53+G55</f>
        <v>-18218.122801999998</v>
      </c>
      <c r="H57" s="326">
        <f>+H53+H55</f>
        <v>0</v>
      </c>
      <c r="I57" s="346">
        <f>+I53+I55</f>
        <v>-62141.573232</v>
      </c>
      <c r="J57" s="346">
        <f>+J53+J55</f>
        <v>-539387</v>
      </c>
      <c r="M57" s="326">
        <v>-43923.45043</v>
      </c>
      <c r="N57" s="326">
        <v>-26205.69001</v>
      </c>
    </row>
    <row r="58" spans="2:14" ht="12.75">
      <c r="B58" s="295"/>
      <c r="C58" s="297"/>
      <c r="D58" s="312"/>
      <c r="E58" s="297" t="s">
        <v>229</v>
      </c>
      <c r="F58" s="297"/>
      <c r="G58" s="327"/>
      <c r="H58" s="327"/>
      <c r="I58" s="347"/>
      <c r="J58" s="347"/>
      <c r="M58" s="327"/>
      <c r="N58" s="327"/>
    </row>
    <row r="59" spans="2:14" ht="12.75">
      <c r="B59" s="300"/>
      <c r="C59" s="294" t="s">
        <v>228</v>
      </c>
      <c r="D59" s="301"/>
      <c r="E59" s="294" t="s">
        <v>449</v>
      </c>
      <c r="F59" s="294"/>
      <c r="G59" s="326">
        <f>I59-M59</f>
        <v>-406.3777200000002</v>
      </c>
      <c r="H59" s="326">
        <v>0</v>
      </c>
      <c r="I59" s="348">
        <f>-'Con P&amp;L'!I23/1000</f>
        <v>-2424.4631240000003</v>
      </c>
      <c r="J59" s="348">
        <v>1041</v>
      </c>
      <c r="M59" s="328">
        <v>-2018.0854040000002</v>
      </c>
      <c r="N59" s="328">
        <v>-1954.29816</v>
      </c>
    </row>
    <row r="60" spans="2:14" ht="12.75">
      <c r="B60" s="300"/>
      <c r="C60" s="294" t="s">
        <v>280</v>
      </c>
      <c r="D60" s="301" t="s">
        <v>280</v>
      </c>
      <c r="E60" s="294" t="s">
        <v>230</v>
      </c>
      <c r="F60" s="294"/>
      <c r="G60" s="328"/>
      <c r="H60" s="328"/>
      <c r="I60" s="348"/>
      <c r="J60" s="348"/>
      <c r="M60" s="328"/>
      <c r="N60" s="328"/>
    </row>
    <row r="61" spans="2:14" ht="12.75">
      <c r="B61" s="302"/>
      <c r="C61" s="291"/>
      <c r="D61" s="307"/>
      <c r="E61" s="291" t="s">
        <v>227</v>
      </c>
      <c r="F61" s="291"/>
      <c r="G61" s="326">
        <f>+G57+G59</f>
        <v>-18624.500522</v>
      </c>
      <c r="H61" s="326">
        <f>+H57+H59</f>
        <v>0</v>
      </c>
      <c r="I61" s="346">
        <f>+I57+I59</f>
        <v>-64566.036356000004</v>
      </c>
      <c r="J61" s="346">
        <f>+J57+J59</f>
        <v>-538346</v>
      </c>
      <c r="M61" s="326">
        <v>-45941.535833999995</v>
      </c>
      <c r="N61" s="326">
        <v>-28159.988169999997</v>
      </c>
    </row>
    <row r="62" spans="2:14" ht="12.75">
      <c r="B62" s="295"/>
      <c r="C62" s="297"/>
      <c r="D62" s="312" t="s">
        <v>281</v>
      </c>
      <c r="E62" s="297" t="s">
        <v>282</v>
      </c>
      <c r="F62" s="297"/>
      <c r="G62" s="327"/>
      <c r="H62" s="327"/>
      <c r="I62" s="347">
        <f>'Con P&amp;L'!I26/1000</f>
        <v>0</v>
      </c>
      <c r="J62" s="347">
        <v>0</v>
      </c>
      <c r="M62" s="327">
        <v>0</v>
      </c>
      <c r="N62" s="327">
        <v>0</v>
      </c>
    </row>
    <row r="63" spans="2:14" ht="12.75">
      <c r="B63" s="300"/>
      <c r="C63" s="294" t="s">
        <v>231</v>
      </c>
      <c r="D63" s="301"/>
      <c r="E63" s="294" t="s">
        <v>230</v>
      </c>
      <c r="F63" s="294"/>
      <c r="G63" s="328"/>
      <c r="H63" s="328"/>
      <c r="I63" s="348"/>
      <c r="J63" s="348"/>
      <c r="M63" s="328"/>
      <c r="N63" s="328"/>
    </row>
    <row r="64" spans="2:14" ht="12.75">
      <c r="B64" s="302"/>
      <c r="C64" s="291"/>
      <c r="D64" s="307"/>
      <c r="E64" s="291" t="s">
        <v>284</v>
      </c>
      <c r="F64" s="291"/>
      <c r="G64" s="326"/>
      <c r="H64" s="326"/>
      <c r="I64" s="346"/>
      <c r="J64" s="346"/>
      <c r="M64" s="326"/>
      <c r="N64" s="326"/>
    </row>
    <row r="65" spans="2:17" s="198" customFormat="1" ht="12.75">
      <c r="B65" s="295"/>
      <c r="C65" s="297"/>
      <c r="D65" s="312"/>
      <c r="E65" s="297" t="s">
        <v>285</v>
      </c>
      <c r="F65" s="297"/>
      <c r="G65" s="327">
        <f>G61-G62</f>
        <v>-18624.500522</v>
      </c>
      <c r="H65" s="327">
        <f>H61-H62</f>
        <v>0</v>
      </c>
      <c r="I65" s="347">
        <f>I61-I62</f>
        <v>-64566.036356000004</v>
      </c>
      <c r="J65" s="347">
        <f>J61-J62</f>
        <v>-538346</v>
      </c>
      <c r="K65" s="292"/>
      <c r="L65" s="292"/>
      <c r="M65" s="327">
        <v>-45941.535833999995</v>
      </c>
      <c r="N65" s="327">
        <v>-28159.988169999997</v>
      </c>
      <c r="O65" s="292"/>
      <c r="P65" s="292"/>
      <c r="Q65" s="292"/>
    </row>
    <row r="66" spans="2:14" ht="12.75">
      <c r="B66" s="298"/>
      <c r="C66" s="299" t="s">
        <v>232</v>
      </c>
      <c r="D66" s="315" t="s">
        <v>280</v>
      </c>
      <c r="E66" s="299" t="s">
        <v>450</v>
      </c>
      <c r="F66" s="299"/>
      <c r="G66" s="330"/>
      <c r="H66" s="330">
        <v>0</v>
      </c>
      <c r="I66" s="349">
        <f>'Con P&amp;L'!I29</f>
        <v>0</v>
      </c>
      <c r="J66" s="349">
        <v>0</v>
      </c>
      <c r="M66" s="330">
        <v>0</v>
      </c>
      <c r="N66" s="330">
        <v>0</v>
      </c>
    </row>
    <row r="67" spans="2:14" ht="12.75">
      <c r="B67" s="298"/>
      <c r="C67" s="299"/>
      <c r="D67" s="315" t="s">
        <v>281</v>
      </c>
      <c r="E67" s="319" t="s">
        <v>282</v>
      </c>
      <c r="F67" s="319"/>
      <c r="G67" s="331"/>
      <c r="H67" s="331">
        <v>0</v>
      </c>
      <c r="I67" s="350">
        <f>'Con P&amp;L'!I26</f>
        <v>0</v>
      </c>
      <c r="J67" s="350">
        <v>0</v>
      </c>
      <c r="M67" s="330">
        <v>0</v>
      </c>
      <c r="N67" s="331">
        <v>0</v>
      </c>
    </row>
    <row r="68" spans="2:14" ht="12.75">
      <c r="B68" s="300"/>
      <c r="C68" s="294"/>
      <c r="D68" s="301" t="s">
        <v>287</v>
      </c>
      <c r="E68" s="294" t="s">
        <v>272</v>
      </c>
      <c r="F68" s="294"/>
      <c r="G68" s="328"/>
      <c r="H68" s="328"/>
      <c r="I68" s="348"/>
      <c r="J68" s="348"/>
      <c r="M68" s="328"/>
      <c r="N68" s="328"/>
    </row>
    <row r="69" spans="2:14" ht="12.75">
      <c r="B69" s="295"/>
      <c r="C69" s="297"/>
      <c r="D69" s="312"/>
      <c r="E69" s="297" t="s">
        <v>288</v>
      </c>
      <c r="F69" s="297"/>
      <c r="G69" s="327"/>
      <c r="H69" s="327">
        <v>0</v>
      </c>
      <c r="I69" s="347"/>
      <c r="J69" s="347"/>
      <c r="M69" s="327"/>
      <c r="N69" s="327"/>
    </row>
    <row r="70" spans="2:14" ht="12.75">
      <c r="B70" s="300"/>
      <c r="C70" s="294" t="s">
        <v>233</v>
      </c>
      <c r="D70" s="301"/>
      <c r="E70" s="305" t="s">
        <v>234</v>
      </c>
      <c r="F70" s="305"/>
      <c r="G70" s="328"/>
      <c r="H70" s="328"/>
      <c r="I70" s="348"/>
      <c r="J70" s="348"/>
      <c r="M70" s="328"/>
      <c r="N70" s="328"/>
    </row>
    <row r="71" spans="2:14" ht="12.75">
      <c r="B71" s="302"/>
      <c r="C71" s="291"/>
      <c r="D71" s="307"/>
      <c r="E71" s="306" t="s">
        <v>229</v>
      </c>
      <c r="F71" s="306"/>
      <c r="G71" s="326"/>
      <c r="H71" s="326"/>
      <c r="I71" s="346"/>
      <c r="J71" s="346"/>
      <c r="M71" s="326"/>
      <c r="N71" s="326"/>
    </row>
    <row r="72" spans="2:14" ht="12.75">
      <c r="B72" s="295"/>
      <c r="C72" s="297"/>
      <c r="D72" s="312"/>
      <c r="E72" s="297" t="s">
        <v>235</v>
      </c>
      <c r="F72" s="297"/>
      <c r="G72" s="327">
        <f>G65+G66+G67</f>
        <v>-18624.500522</v>
      </c>
      <c r="H72" s="327">
        <f>H65+H66+H67</f>
        <v>0</v>
      </c>
      <c r="I72" s="347">
        <f>I65+I66</f>
        <v>-64566.036356000004</v>
      </c>
      <c r="J72" s="347">
        <f>J65+J66</f>
        <v>-538346</v>
      </c>
      <c r="M72" s="327">
        <v>-45941.535833999995</v>
      </c>
      <c r="N72" s="327">
        <v>-28159.988169999997</v>
      </c>
    </row>
    <row r="73" spans="2:14" ht="12.75">
      <c r="B73" s="293" t="s">
        <v>290</v>
      </c>
      <c r="C73" s="303" t="s">
        <v>274</v>
      </c>
      <c r="D73" s="301"/>
      <c r="E73" s="294" t="s">
        <v>243</v>
      </c>
      <c r="F73" s="294"/>
      <c r="G73" s="332"/>
      <c r="H73" s="332"/>
      <c r="I73" s="351"/>
      <c r="J73" s="351"/>
      <c r="M73" s="332"/>
      <c r="N73" s="332"/>
    </row>
    <row r="74" spans="2:14" ht="12.75">
      <c r="B74" s="316"/>
      <c r="C74" s="292"/>
      <c r="D74" s="307"/>
      <c r="E74" s="291" t="s">
        <v>244</v>
      </c>
      <c r="F74" s="291"/>
      <c r="G74" s="326"/>
      <c r="H74" s="326"/>
      <c r="I74" s="352"/>
      <c r="J74" s="352"/>
      <c r="M74" s="326"/>
      <c r="N74" s="326"/>
    </row>
    <row r="75" spans="2:14" ht="12.75">
      <c r="B75" s="316"/>
      <c r="C75" s="292"/>
      <c r="D75" s="307"/>
      <c r="E75" s="291" t="s">
        <v>245</v>
      </c>
      <c r="F75" s="291"/>
      <c r="G75" s="333"/>
      <c r="H75" s="333"/>
      <c r="I75" s="352"/>
      <c r="J75" s="352"/>
      <c r="M75" s="333"/>
      <c r="N75" s="333"/>
    </row>
    <row r="76" spans="2:14" ht="12.75">
      <c r="B76" s="316"/>
      <c r="C76" s="292"/>
      <c r="D76" s="307"/>
      <c r="E76" s="291" t="s">
        <v>67</v>
      </c>
      <c r="F76" s="291"/>
      <c r="G76" s="333">
        <f>(+G65/188275)*100</f>
        <v>-9.892179270747576</v>
      </c>
      <c r="H76" s="333">
        <f>(+H65/188275)*100</f>
        <v>0</v>
      </c>
      <c r="I76" s="353">
        <f>(+I65/188275)*100</f>
        <v>-34.29347303465675</v>
      </c>
      <c r="J76" s="353">
        <f>(+J65/188275)*100</f>
        <v>-285.93599787544815</v>
      </c>
      <c r="M76" s="333">
        <v>-24.401293763909173</v>
      </c>
      <c r="N76" s="333">
        <v>-14.956838757137165</v>
      </c>
    </row>
    <row r="77" spans="2:14" ht="12.75">
      <c r="B77" s="311"/>
      <c r="C77" s="296"/>
      <c r="D77" s="312"/>
      <c r="E77" s="297"/>
      <c r="F77" s="297"/>
      <c r="G77" s="334"/>
      <c r="H77" s="334"/>
      <c r="I77" s="354"/>
      <c r="J77" s="354"/>
      <c r="M77" s="334"/>
      <c r="N77" s="334"/>
    </row>
    <row r="78" spans="2:14" ht="12.75">
      <c r="B78" s="293"/>
      <c r="C78" s="303"/>
      <c r="D78" s="301" t="s">
        <v>280</v>
      </c>
      <c r="E78" s="294" t="s">
        <v>246</v>
      </c>
      <c r="F78" s="294"/>
      <c r="G78" s="332">
        <v>0</v>
      </c>
      <c r="H78" s="332">
        <v>0</v>
      </c>
      <c r="I78" s="351">
        <v>0</v>
      </c>
      <c r="J78" s="351">
        <v>0</v>
      </c>
      <c r="M78" s="328">
        <v>0</v>
      </c>
      <c r="N78" s="332">
        <v>0</v>
      </c>
    </row>
    <row r="79" spans="2:14" ht="12.75">
      <c r="B79" s="311"/>
      <c r="C79" s="297"/>
      <c r="D79" s="312"/>
      <c r="E79" s="297"/>
      <c r="F79" s="297"/>
      <c r="G79" s="334"/>
      <c r="H79" s="334"/>
      <c r="I79" s="354"/>
      <c r="J79" s="354"/>
      <c r="M79" s="327"/>
      <c r="N79" s="334"/>
    </row>
    <row r="80" spans="2:14" ht="12.75">
      <c r="B80" s="293"/>
      <c r="C80" s="294"/>
      <c r="D80" s="301" t="s">
        <v>281</v>
      </c>
      <c r="E80" s="294" t="s">
        <v>247</v>
      </c>
      <c r="F80" s="294"/>
      <c r="G80" s="332">
        <v>0</v>
      </c>
      <c r="H80" s="332">
        <v>0</v>
      </c>
      <c r="I80" s="351">
        <v>0</v>
      </c>
      <c r="J80" s="351">
        <v>0</v>
      </c>
      <c r="M80" s="328">
        <v>0</v>
      </c>
      <c r="N80" s="332">
        <v>0</v>
      </c>
    </row>
    <row r="81" spans="2:14" ht="12.75">
      <c r="B81" s="311"/>
      <c r="C81" s="297"/>
      <c r="D81" s="312"/>
      <c r="E81" s="297"/>
      <c r="F81" s="297"/>
      <c r="G81" s="334"/>
      <c r="H81" s="334"/>
      <c r="I81" s="354"/>
      <c r="J81" s="354"/>
      <c r="M81" s="327"/>
      <c r="N81" s="334"/>
    </row>
    <row r="82" spans="2:14" ht="12.75">
      <c r="B82" s="293" t="s">
        <v>292</v>
      </c>
      <c r="C82" s="294" t="s">
        <v>274</v>
      </c>
      <c r="D82" s="301"/>
      <c r="E82" s="294" t="s">
        <v>248</v>
      </c>
      <c r="F82" s="294"/>
      <c r="G82" s="332">
        <v>0</v>
      </c>
      <c r="H82" s="332">
        <v>0</v>
      </c>
      <c r="I82" s="351">
        <v>0</v>
      </c>
      <c r="J82" s="351">
        <v>0</v>
      </c>
      <c r="M82" s="328">
        <v>0</v>
      </c>
      <c r="N82" s="332">
        <v>0</v>
      </c>
    </row>
    <row r="83" spans="2:14" ht="12.75">
      <c r="B83" s="311"/>
      <c r="C83" s="297"/>
      <c r="D83" s="312"/>
      <c r="E83" s="297"/>
      <c r="F83" s="297"/>
      <c r="G83" s="334"/>
      <c r="H83" s="334"/>
      <c r="I83" s="354"/>
      <c r="J83" s="354"/>
      <c r="M83" s="327"/>
      <c r="N83" s="334"/>
    </row>
    <row r="84" spans="2:14" ht="12.75">
      <c r="B84" s="317"/>
      <c r="C84" s="299" t="s">
        <v>276</v>
      </c>
      <c r="D84" s="315"/>
      <c r="E84" s="299" t="s">
        <v>249</v>
      </c>
      <c r="F84" s="299"/>
      <c r="G84" s="335">
        <v>0</v>
      </c>
      <c r="H84" s="335">
        <v>0</v>
      </c>
      <c r="I84" s="355">
        <v>0</v>
      </c>
      <c r="J84" s="355">
        <v>0</v>
      </c>
      <c r="M84" s="330">
        <v>0</v>
      </c>
      <c r="N84" s="335">
        <v>0</v>
      </c>
    </row>
    <row r="85" spans="2:14" ht="12.75">
      <c r="B85" s="134"/>
      <c r="C85" s="120"/>
      <c r="D85" s="120"/>
      <c r="E85" s="120"/>
      <c r="F85" s="120"/>
      <c r="G85" s="321"/>
      <c r="H85" s="322"/>
      <c r="I85" s="321"/>
      <c r="J85" s="322"/>
      <c r="M85" s="321"/>
      <c r="N85" s="322"/>
    </row>
    <row r="86" spans="2:14" ht="12.75">
      <c r="B86" s="134"/>
      <c r="C86" s="120"/>
      <c r="D86" s="120"/>
      <c r="E86" s="120"/>
      <c r="F86" s="120"/>
      <c r="G86" s="321"/>
      <c r="H86" s="322"/>
      <c r="I86" s="321"/>
      <c r="J86" s="322"/>
      <c r="M86" s="321"/>
      <c r="N86" s="322"/>
    </row>
    <row r="87" spans="2:14" ht="12.75">
      <c r="B87" s="134"/>
      <c r="C87" s="120"/>
      <c r="D87" s="120"/>
      <c r="E87" s="120"/>
      <c r="F87" s="120"/>
      <c r="G87" s="321"/>
      <c r="H87" s="322"/>
      <c r="I87" s="321"/>
      <c r="J87" s="322"/>
      <c r="M87" s="321"/>
      <c r="N87" s="322"/>
    </row>
    <row r="88" spans="2:14" ht="12" customHeight="1">
      <c r="B88" s="293"/>
      <c r="C88" s="294"/>
      <c r="D88" s="294"/>
      <c r="E88" s="294"/>
      <c r="F88" s="294"/>
      <c r="G88" s="336" t="s">
        <v>250</v>
      </c>
      <c r="H88" s="337"/>
      <c r="I88" s="356" t="s">
        <v>261</v>
      </c>
      <c r="J88" s="357"/>
      <c r="M88" s="336" t="s">
        <v>250</v>
      </c>
      <c r="N88" s="337"/>
    </row>
    <row r="89" spans="2:14" ht="12.75">
      <c r="B89" s="311"/>
      <c r="C89" s="297"/>
      <c r="D89" s="297"/>
      <c r="E89" s="297"/>
      <c r="F89" s="297"/>
      <c r="G89" s="338"/>
      <c r="H89" s="339"/>
      <c r="I89" s="444" t="s">
        <v>262</v>
      </c>
      <c r="J89" s="445"/>
      <c r="M89" s="338" t="s">
        <v>170</v>
      </c>
      <c r="N89" s="339"/>
    </row>
    <row r="90" spans="2:14" ht="12.75">
      <c r="B90" s="313">
        <v>5</v>
      </c>
      <c r="C90" s="294" t="s">
        <v>68</v>
      </c>
      <c r="D90" s="294"/>
      <c r="E90" s="294"/>
      <c r="F90" s="301"/>
      <c r="G90" s="340">
        <f>('Con B&amp;S'!H13/1000)/188275</f>
        <v>-1.8516465695711062</v>
      </c>
      <c r="H90" s="337"/>
      <c r="I90" s="358">
        <f>-283925970/188275313</f>
        <v>-1.508036106677459</v>
      </c>
      <c r="J90" s="357"/>
      <c r="M90" s="340">
        <v>-0.057565083692651585</v>
      </c>
      <c r="N90" s="337"/>
    </row>
    <row r="91" spans="2:14" ht="12.75">
      <c r="B91" s="314"/>
      <c r="C91" s="297" t="s">
        <v>69</v>
      </c>
      <c r="D91" s="297"/>
      <c r="E91" s="297"/>
      <c r="F91" s="312"/>
      <c r="G91" s="338"/>
      <c r="H91" s="341"/>
      <c r="I91" s="359"/>
      <c r="J91" s="360"/>
      <c r="M91" s="338"/>
      <c r="N91" s="341"/>
    </row>
    <row r="92" spans="2:14" ht="12.75">
      <c r="B92" s="314"/>
      <c r="C92" s="298"/>
      <c r="D92" s="299"/>
      <c r="E92" s="299"/>
      <c r="F92" s="315"/>
      <c r="G92" s="342"/>
      <c r="H92" s="343"/>
      <c r="I92" s="361"/>
      <c r="J92" s="362"/>
      <c r="M92" s="342"/>
      <c r="N92" s="343"/>
    </row>
    <row r="93" spans="2:10" ht="12.75">
      <c r="B93" s="134"/>
      <c r="C93" s="120"/>
      <c r="D93" s="120"/>
      <c r="E93" s="120"/>
      <c r="F93" s="120"/>
      <c r="G93" s="135"/>
      <c r="H93" s="136"/>
      <c r="I93" s="135"/>
      <c r="J93" s="136"/>
    </row>
    <row r="94" spans="3:10" ht="12.75">
      <c r="C94" s="120"/>
      <c r="D94" s="120"/>
      <c r="E94" s="120"/>
      <c r="F94" s="120"/>
      <c r="G94" s="135"/>
      <c r="H94" s="136"/>
      <c r="I94" s="135"/>
      <c r="J94" s="136"/>
    </row>
    <row r="95" spans="2:10" ht="12.75">
      <c r="B95" s="304" t="s">
        <v>251</v>
      </c>
      <c r="C95" s="120"/>
      <c r="D95" s="120"/>
      <c r="E95" s="120"/>
      <c r="F95" s="120"/>
      <c r="G95" s="135"/>
      <c r="H95" s="136"/>
      <c r="I95" s="135"/>
      <c r="J95" s="136"/>
    </row>
    <row r="96" spans="2:10" ht="12.75">
      <c r="B96" s="304"/>
      <c r="C96" s="120"/>
      <c r="D96" s="120"/>
      <c r="E96" s="120"/>
      <c r="F96" s="120"/>
      <c r="G96" s="135"/>
      <c r="H96" s="136"/>
      <c r="I96" s="135"/>
      <c r="J96" s="136"/>
    </row>
    <row r="97" spans="2:10" ht="12.75">
      <c r="B97" s="304" t="s">
        <v>479</v>
      </c>
      <c r="C97" s="120"/>
      <c r="D97" s="120"/>
      <c r="E97" s="120"/>
      <c r="F97" s="120"/>
      <c r="G97" s="135"/>
      <c r="H97" s="136"/>
      <c r="I97" s="135"/>
      <c r="J97" s="136"/>
    </row>
    <row r="98" spans="2:10" ht="12.75">
      <c r="B98" s="304" t="s">
        <v>468</v>
      </c>
      <c r="C98" s="120"/>
      <c r="D98" s="120"/>
      <c r="E98" s="120"/>
      <c r="F98" s="120"/>
      <c r="G98" s="135"/>
      <c r="H98" s="136"/>
      <c r="I98" s="135"/>
      <c r="J98" s="136"/>
    </row>
    <row r="99" spans="2:10" ht="12.75">
      <c r="B99" s="304" t="s">
        <v>476</v>
      </c>
      <c r="C99" s="120"/>
      <c r="D99" s="120"/>
      <c r="E99" s="120"/>
      <c r="F99" s="120"/>
      <c r="G99" s="135"/>
      <c r="H99" s="136"/>
      <c r="I99" s="135"/>
      <c r="J99" s="136"/>
    </row>
    <row r="100" spans="2:10" ht="12.75">
      <c r="B100" s="304" t="s">
        <v>477</v>
      </c>
      <c r="C100" s="120"/>
      <c r="D100" s="120"/>
      <c r="E100" s="120"/>
      <c r="F100" s="120"/>
      <c r="G100" s="135"/>
      <c r="H100" s="136"/>
      <c r="I100" s="135"/>
      <c r="J100" s="136"/>
    </row>
    <row r="101" spans="2:10" ht="12.75">
      <c r="B101" s="304"/>
      <c r="C101" s="120"/>
      <c r="D101" s="120"/>
      <c r="E101" s="120"/>
      <c r="F101" s="120"/>
      <c r="G101" s="135"/>
      <c r="H101" s="136"/>
      <c r="I101" s="135"/>
      <c r="J101" s="136"/>
    </row>
    <row r="102" spans="2:10" ht="15.75">
      <c r="B102" s="304" t="s">
        <v>150</v>
      </c>
      <c r="G102" s="133"/>
      <c r="H102" s="133"/>
      <c r="I102" s="133"/>
      <c r="J102" s="133"/>
    </row>
    <row r="103" spans="2:10" ht="15.75">
      <c r="B103" s="304"/>
      <c r="G103" s="133"/>
      <c r="H103" s="133"/>
      <c r="I103" s="133"/>
      <c r="J103" s="133"/>
    </row>
    <row r="104" spans="2:10" ht="15.75">
      <c r="B104" s="304" t="s">
        <v>466</v>
      </c>
      <c r="G104" s="133"/>
      <c r="H104" s="133"/>
      <c r="I104" s="133"/>
      <c r="J104" s="133"/>
    </row>
    <row r="105" spans="2:10" ht="15.75">
      <c r="B105" s="304"/>
      <c r="G105" s="133"/>
      <c r="H105" s="133"/>
      <c r="I105" s="133"/>
      <c r="J105" s="133"/>
    </row>
    <row r="106" spans="2:10" ht="15.75">
      <c r="B106" s="304" t="s">
        <v>70</v>
      </c>
      <c r="G106" s="133"/>
      <c r="H106" s="133"/>
      <c r="I106" s="133"/>
      <c r="J106" s="133"/>
    </row>
    <row r="107" spans="2:10" ht="15.75">
      <c r="B107" s="304"/>
      <c r="G107" s="133"/>
      <c r="H107" s="133"/>
      <c r="I107" s="133"/>
      <c r="J107" s="133"/>
    </row>
    <row r="108" spans="2:10" ht="15.75">
      <c r="B108" s="304" t="s">
        <v>389</v>
      </c>
      <c r="G108" s="133"/>
      <c r="H108" s="133"/>
      <c r="I108" s="133"/>
      <c r="J108" s="133"/>
    </row>
    <row r="109" spans="2:10" ht="15.75">
      <c r="B109" s="304"/>
      <c r="G109" s="133"/>
      <c r="H109" s="133"/>
      <c r="I109" s="133"/>
      <c r="J109" s="133"/>
    </row>
    <row r="110" spans="2:10" ht="15.75">
      <c r="B110" s="304" t="s">
        <v>121</v>
      </c>
      <c r="G110" s="133"/>
      <c r="H110" s="133"/>
      <c r="I110" s="133"/>
      <c r="J110" s="133"/>
    </row>
    <row r="111" spans="2:10" ht="15.75">
      <c r="B111" s="304" t="s">
        <v>469</v>
      </c>
      <c r="G111" s="133"/>
      <c r="H111" s="133"/>
      <c r="I111" s="133"/>
      <c r="J111" s="133"/>
    </row>
    <row r="112" spans="2:10" ht="15.75">
      <c r="B112" s="304"/>
      <c r="G112" s="133"/>
      <c r="H112" s="133"/>
      <c r="I112" s="133"/>
      <c r="J112" s="133"/>
    </row>
    <row r="113" spans="2:10" ht="15.75">
      <c r="B113" s="304" t="s">
        <v>390</v>
      </c>
      <c r="G113" s="133"/>
      <c r="H113" s="133"/>
      <c r="I113" s="133"/>
      <c r="J113" s="133"/>
    </row>
    <row r="114" spans="2:10" ht="15.75">
      <c r="B114" s="304"/>
      <c r="G114" s="133"/>
      <c r="H114" s="133"/>
      <c r="I114" s="133"/>
      <c r="J114" s="133"/>
    </row>
    <row r="115" spans="2:10" ht="15.75">
      <c r="B115" s="304"/>
      <c r="G115" s="133"/>
      <c r="H115" s="133"/>
      <c r="I115" s="133"/>
      <c r="J115" s="133"/>
    </row>
    <row r="116" spans="2:10" ht="15.75">
      <c r="B116" s="304"/>
      <c r="G116" s="133"/>
      <c r="H116" s="133"/>
      <c r="I116" s="133"/>
      <c r="J116" s="133"/>
    </row>
    <row r="117" spans="7:10" ht="15.75">
      <c r="G117" s="133"/>
      <c r="H117" s="133"/>
      <c r="I117" s="133"/>
      <c r="J117" s="133"/>
    </row>
    <row r="118" spans="7:10" ht="15.75">
      <c r="G118" s="133"/>
      <c r="H118" s="133"/>
      <c r="I118" s="133"/>
      <c r="J118" s="133"/>
    </row>
    <row r="119" spans="7:10" ht="15.75">
      <c r="G119" s="133"/>
      <c r="H119" s="133"/>
      <c r="I119" s="133"/>
      <c r="J119" s="133"/>
    </row>
    <row r="120" spans="7:10" ht="15.75">
      <c r="G120" s="133"/>
      <c r="H120" s="133"/>
      <c r="I120" s="133"/>
      <c r="J120" s="133"/>
    </row>
    <row r="121" spans="7:10" ht="15.75">
      <c r="G121" s="133"/>
      <c r="H121" s="133"/>
      <c r="I121" s="133"/>
      <c r="J121" s="133"/>
    </row>
    <row r="122" spans="7:10" ht="15.75">
      <c r="G122" s="133"/>
      <c r="H122" s="133"/>
      <c r="I122" s="133"/>
      <c r="J122" s="133"/>
    </row>
    <row r="123" spans="7:10" ht="15.75">
      <c r="G123" s="133"/>
      <c r="H123" s="133"/>
      <c r="I123" s="133"/>
      <c r="J123" s="133"/>
    </row>
    <row r="124" spans="7:10" ht="15.75">
      <c r="G124" s="133"/>
      <c r="H124" s="133"/>
      <c r="I124" s="133"/>
      <c r="J124" s="133"/>
    </row>
    <row r="125" spans="7:10" ht="15.75">
      <c r="G125" s="133"/>
      <c r="H125" s="133"/>
      <c r="I125" s="133"/>
      <c r="J125" s="133"/>
    </row>
    <row r="126" spans="7:10" ht="15.75">
      <c r="G126" s="133"/>
      <c r="H126" s="133"/>
      <c r="I126" s="133"/>
      <c r="J126" s="133"/>
    </row>
    <row r="127" spans="7:10" ht="15.75">
      <c r="G127" s="133"/>
      <c r="H127" s="133"/>
      <c r="I127" s="133"/>
      <c r="J127" s="133"/>
    </row>
    <row r="128" spans="7:10" ht="15.75">
      <c r="G128" s="133"/>
      <c r="H128" s="133"/>
      <c r="I128" s="133"/>
      <c r="J128" s="133"/>
    </row>
    <row r="129" spans="7:10" ht="15.75">
      <c r="G129" s="133"/>
      <c r="H129" s="133"/>
      <c r="I129" s="133"/>
      <c r="J129" s="133"/>
    </row>
    <row r="130" spans="7:10" ht="15.75">
      <c r="G130" s="133"/>
      <c r="H130" s="133"/>
      <c r="I130" s="133"/>
      <c r="J130" s="133"/>
    </row>
    <row r="131" spans="7:10" ht="15.75">
      <c r="G131" s="133"/>
      <c r="H131" s="133"/>
      <c r="I131" s="133"/>
      <c r="J131" s="133"/>
    </row>
    <row r="132" spans="7:10" ht="15.75">
      <c r="G132" s="133"/>
      <c r="H132" s="133"/>
      <c r="I132" s="133"/>
      <c r="J132" s="133"/>
    </row>
    <row r="133" spans="7:10" ht="15.75">
      <c r="G133" s="133"/>
      <c r="H133" s="133"/>
      <c r="I133" s="133"/>
      <c r="J133" s="133"/>
    </row>
    <row r="134" spans="7:10" ht="15.75">
      <c r="G134" s="133"/>
      <c r="H134" s="133"/>
      <c r="I134" s="133"/>
      <c r="J134" s="133"/>
    </row>
    <row r="135" spans="7:10" ht="15.75">
      <c r="G135" s="133"/>
      <c r="H135" s="133"/>
      <c r="I135" s="133"/>
      <c r="J135" s="133"/>
    </row>
    <row r="136" spans="7:10" ht="15.75">
      <c r="G136" s="133"/>
      <c r="H136" s="133"/>
      <c r="I136" s="133"/>
      <c r="J136" s="133"/>
    </row>
    <row r="137" spans="7:10" ht="15.75">
      <c r="G137" s="133"/>
      <c r="H137" s="133"/>
      <c r="I137" s="133"/>
      <c r="J137" s="133"/>
    </row>
    <row r="138" spans="7:10" ht="15.75">
      <c r="G138" s="133"/>
      <c r="H138" s="133"/>
      <c r="I138" s="133"/>
      <c r="J138" s="133"/>
    </row>
    <row r="139" spans="7:10" ht="15.75">
      <c r="G139" s="133"/>
      <c r="H139" s="133"/>
      <c r="I139" s="133"/>
      <c r="J139" s="133"/>
    </row>
    <row r="140" spans="7:10" ht="15.75">
      <c r="G140" s="133"/>
      <c r="H140" s="133"/>
      <c r="I140" s="133"/>
      <c r="J140" s="133"/>
    </row>
    <row r="141" spans="7:10" ht="15.75">
      <c r="G141" s="133"/>
      <c r="H141" s="133"/>
      <c r="I141" s="133"/>
      <c r="J141" s="133"/>
    </row>
    <row r="142" spans="7:10" ht="15.75">
      <c r="G142" s="133"/>
      <c r="H142" s="133"/>
      <c r="I142" s="133"/>
      <c r="J142" s="133"/>
    </row>
    <row r="143" spans="7:10" ht="15.75">
      <c r="G143" s="133"/>
      <c r="H143" s="133"/>
      <c r="I143" s="133"/>
      <c r="J143" s="133"/>
    </row>
    <row r="144" spans="7:10" ht="15.75">
      <c r="G144" s="133"/>
      <c r="H144" s="133"/>
      <c r="I144" s="133"/>
      <c r="J144" s="133"/>
    </row>
    <row r="145" spans="7:10" ht="15.75">
      <c r="G145" s="133"/>
      <c r="H145" s="133"/>
      <c r="I145" s="133"/>
      <c r="J145" s="133"/>
    </row>
    <row r="146" spans="7:10" ht="15.75">
      <c r="G146" s="133"/>
      <c r="H146" s="133"/>
      <c r="I146" s="133"/>
      <c r="J146" s="133"/>
    </row>
    <row r="147" spans="7:10" ht="15.75">
      <c r="G147" s="133"/>
      <c r="H147" s="133"/>
      <c r="I147" s="133"/>
      <c r="J147" s="133"/>
    </row>
    <row r="148" spans="7:10" ht="15.75">
      <c r="G148" s="133"/>
      <c r="H148" s="133"/>
      <c r="I148" s="133"/>
      <c r="J148" s="133"/>
    </row>
    <row r="149" spans="7:10" ht="15.75">
      <c r="G149" s="133"/>
      <c r="H149" s="133"/>
      <c r="I149" s="133"/>
      <c r="J149" s="133"/>
    </row>
    <row r="150" spans="7:10" ht="15.75">
      <c r="G150" s="133"/>
      <c r="H150" s="133"/>
      <c r="I150" s="133"/>
      <c r="J150" s="133"/>
    </row>
    <row r="151" spans="7:10" ht="15.75">
      <c r="G151" s="133"/>
      <c r="H151" s="133"/>
      <c r="I151" s="133"/>
      <c r="J151" s="133"/>
    </row>
    <row r="152" spans="7:10" ht="15.75">
      <c r="G152" s="133"/>
      <c r="H152" s="133"/>
      <c r="I152" s="133"/>
      <c r="J152" s="133"/>
    </row>
    <row r="153" spans="7:10" ht="15.75">
      <c r="G153" s="133"/>
      <c r="H153" s="133"/>
      <c r="I153" s="133"/>
      <c r="J153" s="133"/>
    </row>
    <row r="154" spans="7:10" ht="15.75">
      <c r="G154" s="133"/>
      <c r="H154" s="133"/>
      <c r="I154" s="133"/>
      <c r="J154" s="133"/>
    </row>
    <row r="155" spans="7:10" ht="15.75">
      <c r="G155" s="133"/>
      <c r="H155" s="133"/>
      <c r="I155" s="133"/>
      <c r="J155" s="133"/>
    </row>
    <row r="156" spans="7:10" ht="15.75">
      <c r="G156" s="133"/>
      <c r="H156" s="133"/>
      <c r="I156" s="133"/>
      <c r="J156" s="133"/>
    </row>
    <row r="157" spans="7:10" ht="15.75">
      <c r="G157" s="133"/>
      <c r="H157" s="133"/>
      <c r="I157" s="133"/>
      <c r="J157" s="133"/>
    </row>
    <row r="158" spans="7:10" ht="15.75">
      <c r="G158" s="133"/>
      <c r="H158" s="133"/>
      <c r="I158" s="133"/>
      <c r="J158" s="133"/>
    </row>
    <row r="159" spans="7:10" ht="15.75">
      <c r="G159" s="133"/>
      <c r="H159" s="133"/>
      <c r="I159" s="133"/>
      <c r="J159" s="133"/>
    </row>
    <row r="160" spans="7:10" ht="15.75">
      <c r="G160" s="133"/>
      <c r="H160" s="133"/>
      <c r="I160" s="133"/>
      <c r="J160" s="133"/>
    </row>
    <row r="161" spans="7:10" ht="15.75">
      <c r="G161" s="133"/>
      <c r="H161" s="133"/>
      <c r="I161" s="133"/>
      <c r="J161" s="133"/>
    </row>
    <row r="162" spans="7:10" ht="15.75">
      <c r="G162" s="133"/>
      <c r="H162" s="133"/>
      <c r="I162" s="133"/>
      <c r="J162" s="133"/>
    </row>
    <row r="163" spans="7:10" ht="15.75">
      <c r="G163" s="133"/>
      <c r="H163" s="133"/>
      <c r="I163" s="133"/>
      <c r="J163" s="133"/>
    </row>
    <row r="164" spans="7:10" ht="15.75">
      <c r="G164" s="133"/>
      <c r="H164" s="133"/>
      <c r="I164" s="133"/>
      <c r="J164" s="133"/>
    </row>
    <row r="165" spans="7:10" ht="15.75">
      <c r="G165" s="133"/>
      <c r="H165" s="133"/>
      <c r="I165" s="133"/>
      <c r="J165" s="133"/>
    </row>
    <row r="166" spans="7:10" ht="15.75">
      <c r="G166" s="133"/>
      <c r="H166" s="133"/>
      <c r="I166" s="133"/>
      <c r="J166" s="133"/>
    </row>
    <row r="167" spans="7:10" ht="15.75">
      <c r="G167" s="133"/>
      <c r="H167" s="133"/>
      <c r="I167" s="133"/>
      <c r="J167" s="133"/>
    </row>
    <row r="168" spans="7:10" ht="15.75">
      <c r="G168" s="133"/>
      <c r="H168" s="133"/>
      <c r="I168" s="133"/>
      <c r="J168" s="133"/>
    </row>
  </sheetData>
  <mergeCells count="3">
    <mergeCell ref="G26:H26"/>
    <mergeCell ref="I26:J26"/>
    <mergeCell ref="I89:J89"/>
  </mergeCells>
  <printOptions/>
  <pageMargins left="0.57" right="0.52" top="1" bottom="0.53" header="0.5" footer="0.5"/>
  <pageSetup fitToHeight="2" fitToWidth="1" horizontalDpi="300" verticalDpi="3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93"/>
  <sheetViews>
    <sheetView zoomScale="75" zoomScaleNormal="75" workbookViewId="0" topLeftCell="B5">
      <pane xSplit="4" ySplit="6" topLeftCell="I52" activePane="bottomRight" state="frozen"/>
      <selection pane="topLeft" activeCell="B5" sqref="B5"/>
      <selection pane="topRight" activeCell="F5" sqref="F5"/>
      <selection pane="bottomLeft" activeCell="B11" sqref="B11"/>
      <selection pane="bottomRight" activeCell="K57" sqref="K57"/>
    </sheetView>
  </sheetViews>
  <sheetFormatPr defaultColWidth="9.140625" defaultRowHeight="12.75"/>
  <cols>
    <col min="1" max="1" width="4.00390625" style="0" customWidth="1"/>
    <col min="2" max="2" width="6.28125" style="130" customWidth="1"/>
    <col min="3" max="3" width="4.00390625" style="130" customWidth="1"/>
    <col min="4" max="4" width="2.7109375" style="130" customWidth="1"/>
    <col min="5" max="5" width="38.140625" style="130" customWidth="1"/>
    <col min="6" max="6" width="15.28125" style="130" customWidth="1"/>
    <col min="7" max="7" width="16.7109375" style="131" customWidth="1"/>
    <col min="8" max="8" width="4.8515625" style="131" customWidth="1"/>
    <col min="9" max="9" width="20.00390625" style="130" customWidth="1"/>
    <col min="10" max="10" width="15.57421875" style="130" customWidth="1"/>
    <col min="11" max="11" width="18.7109375" style="130" bestFit="1" customWidth="1"/>
    <col min="12" max="12" width="3.00390625" style="130" customWidth="1"/>
    <col min="13" max="13" width="11.140625" style="0" customWidth="1"/>
    <col min="14" max="14" width="12.57421875" style="0" bestFit="1" customWidth="1"/>
  </cols>
  <sheetData>
    <row r="1" spans="7:11" ht="15.75">
      <c r="G1" s="133"/>
      <c r="H1" s="133"/>
      <c r="I1" s="376"/>
      <c r="J1" s="376"/>
      <c r="K1" s="376"/>
    </row>
    <row r="2" spans="2:11" ht="15.75">
      <c r="B2" s="377" t="s">
        <v>328</v>
      </c>
      <c r="G2" s="133"/>
      <c r="H2" s="133"/>
      <c r="I2" s="376"/>
      <c r="J2" s="376"/>
      <c r="K2" s="376"/>
    </row>
    <row r="3" spans="2:11" ht="15.75">
      <c r="B3" s="377"/>
      <c r="G3" s="133"/>
      <c r="H3" s="133"/>
      <c r="I3" s="376"/>
      <c r="J3" s="376"/>
      <c r="K3" s="376"/>
    </row>
    <row r="4" spans="2:11" ht="15.75">
      <c r="B4" s="377" t="s">
        <v>118</v>
      </c>
      <c r="G4" s="133"/>
      <c r="H4" s="133"/>
      <c r="I4" s="376"/>
      <c r="J4" s="376"/>
      <c r="K4" s="376"/>
    </row>
    <row r="5" spans="6:11" ht="12.75">
      <c r="F5" s="389" t="s">
        <v>181</v>
      </c>
      <c r="G5" s="389" t="s">
        <v>181</v>
      </c>
      <c r="H5" s="374"/>
      <c r="I5" s="376"/>
      <c r="J5" s="376"/>
      <c r="K5" s="376"/>
    </row>
    <row r="6" spans="6:11" ht="12.75">
      <c r="F6" s="389" t="s">
        <v>182</v>
      </c>
      <c r="G6" s="389" t="s">
        <v>184</v>
      </c>
      <c r="H6" s="374"/>
      <c r="I6" s="376"/>
      <c r="J6" s="376"/>
      <c r="K6" s="376"/>
    </row>
    <row r="7" spans="6:11" ht="12.75">
      <c r="F7" s="389" t="s">
        <v>183</v>
      </c>
      <c r="G7" s="389" t="s">
        <v>185</v>
      </c>
      <c r="H7" s="374"/>
      <c r="I7" s="376"/>
      <c r="J7" s="376"/>
      <c r="K7" s="376"/>
    </row>
    <row r="8" spans="6:11" ht="12.75">
      <c r="F8" s="389" t="s">
        <v>314</v>
      </c>
      <c r="G8" s="389" t="s">
        <v>186</v>
      </c>
      <c r="H8" s="374"/>
      <c r="I8" s="374" t="s">
        <v>314</v>
      </c>
      <c r="J8" s="374" t="s">
        <v>186</v>
      </c>
      <c r="K8" s="376"/>
    </row>
    <row r="9" spans="6:11" ht="12.75">
      <c r="F9" s="390">
        <v>36707</v>
      </c>
      <c r="G9" s="390">
        <v>36341</v>
      </c>
      <c r="H9" s="373"/>
      <c r="I9" s="373">
        <v>36707</v>
      </c>
      <c r="J9" s="373">
        <v>36341</v>
      </c>
      <c r="K9" s="376"/>
    </row>
    <row r="10" spans="6:11" ht="12.75">
      <c r="F10" s="389" t="s">
        <v>464</v>
      </c>
      <c r="G10" s="389" t="s">
        <v>464</v>
      </c>
      <c r="H10" s="374"/>
      <c r="I10" s="374"/>
      <c r="J10" s="374"/>
      <c r="K10" s="376"/>
    </row>
    <row r="11" spans="7:11" ht="15.75">
      <c r="G11" s="133"/>
      <c r="H11" s="133"/>
      <c r="J11" s="376"/>
      <c r="K11" s="376"/>
    </row>
    <row r="12" spans="2:11" ht="12.75">
      <c r="B12" s="130">
        <v>1</v>
      </c>
      <c r="C12" s="130" t="s">
        <v>175</v>
      </c>
      <c r="F12" s="376">
        <f aca="true" t="shared" si="0" ref="F12:G15">+I12/1000</f>
        <v>21858.12278</v>
      </c>
      <c r="G12" s="376">
        <f t="shared" si="0"/>
        <v>23928.305</v>
      </c>
      <c r="H12" s="376"/>
      <c r="I12" s="375">
        <f>('Con B&amp;S'!H22)</f>
        <v>21858122.78</v>
      </c>
      <c r="J12" s="376">
        <v>23928305</v>
      </c>
      <c r="K12" s="423">
        <f>+I12-J12</f>
        <v>-2070182.2199999988</v>
      </c>
    </row>
    <row r="13" spans="2:11" ht="12.75">
      <c r="B13" s="130">
        <v>2</v>
      </c>
      <c r="C13" s="130" t="s">
        <v>176</v>
      </c>
      <c r="F13" s="376">
        <f t="shared" si="0"/>
        <v>19153.755678</v>
      </c>
      <c r="G13" s="376">
        <f t="shared" si="0"/>
        <v>16329.909</v>
      </c>
      <c r="H13" s="376"/>
      <c r="I13" s="375">
        <f>'Con B&amp;S'!H25</f>
        <v>19153755.678000003</v>
      </c>
      <c r="J13" s="376">
        <v>16329909</v>
      </c>
      <c r="K13" s="423">
        <f aca="true" t="shared" si="1" ref="K13:K64">+I13-J13</f>
        <v>2823846.678000003</v>
      </c>
    </row>
    <row r="14" spans="2:11" ht="12.75">
      <c r="B14" s="130">
        <v>3</v>
      </c>
      <c r="C14" s="130" t="s">
        <v>177</v>
      </c>
      <c r="F14" s="376">
        <f t="shared" si="0"/>
        <v>198605.018</v>
      </c>
      <c r="G14" s="376">
        <f t="shared" si="0"/>
        <v>198605.018</v>
      </c>
      <c r="H14" s="376"/>
      <c r="I14" s="375">
        <f>'Con B&amp;S'!H26</f>
        <v>198605018</v>
      </c>
      <c r="J14" s="376">
        <f>569142+198035876</f>
        <v>198605018</v>
      </c>
      <c r="K14" s="423">
        <f t="shared" si="1"/>
        <v>0</v>
      </c>
    </row>
    <row r="15" spans="2:11" ht="12.75">
      <c r="B15" s="130">
        <v>4</v>
      </c>
      <c r="C15" s="130" t="s">
        <v>178</v>
      </c>
      <c r="F15" s="376">
        <f t="shared" si="0"/>
        <v>0</v>
      </c>
      <c r="G15" s="376">
        <f t="shared" si="0"/>
        <v>0</v>
      </c>
      <c r="H15" s="376"/>
      <c r="I15" s="437">
        <v>0</v>
      </c>
      <c r="J15" s="376">
        <v>0</v>
      </c>
      <c r="K15" s="423">
        <f t="shared" si="1"/>
        <v>0</v>
      </c>
    </row>
    <row r="16" spans="10:11" ht="15.75">
      <c r="J16" s="376"/>
      <c r="K16" s="423"/>
    </row>
    <row r="17" spans="2:11" ht="15.75">
      <c r="B17" s="130">
        <v>5</v>
      </c>
      <c r="C17" s="130" t="s">
        <v>425</v>
      </c>
      <c r="F17" s="376"/>
      <c r="G17" s="376"/>
      <c r="J17" s="376"/>
      <c r="K17" s="423">
        <f t="shared" si="1"/>
        <v>0</v>
      </c>
    </row>
    <row r="18" spans="4:11" ht="15.75">
      <c r="D18" s="130" t="s">
        <v>146</v>
      </c>
      <c r="F18" s="376">
        <f aca="true" t="shared" si="2" ref="F18:F25">+I18/1000</f>
        <v>1428.488</v>
      </c>
      <c r="G18" s="376">
        <f aca="true" t="shared" si="3" ref="G18:G25">+J18/1000</f>
        <v>1423.176</v>
      </c>
      <c r="I18" s="376">
        <f>'Con B&amp;S'!H32</f>
        <v>1428488</v>
      </c>
      <c r="J18" s="376">
        <v>1423176</v>
      </c>
      <c r="K18" s="423">
        <f t="shared" si="1"/>
        <v>5312</v>
      </c>
    </row>
    <row r="19" spans="4:11" ht="15.75">
      <c r="D19" s="130" t="s">
        <v>179</v>
      </c>
      <c r="F19" s="376">
        <f t="shared" si="2"/>
        <v>25896.38322</v>
      </c>
      <c r="G19" s="376">
        <f t="shared" si="3"/>
        <v>28116.577</v>
      </c>
      <c r="H19" s="133"/>
      <c r="I19" s="376">
        <f>'Con B&amp;S'!H33</f>
        <v>25896383.22</v>
      </c>
      <c r="J19" s="376">
        <v>28116577</v>
      </c>
      <c r="K19" s="423">
        <f t="shared" si="1"/>
        <v>-2220193.780000001</v>
      </c>
    </row>
    <row r="20" spans="4:11" ht="15.75">
      <c r="D20" s="130" t="s">
        <v>180</v>
      </c>
      <c r="F20" s="376">
        <f t="shared" si="2"/>
        <v>6939.554939999999</v>
      </c>
      <c r="G20" s="376">
        <f t="shared" si="3"/>
        <v>1872.21</v>
      </c>
      <c r="H20" s="133"/>
      <c r="I20" s="376">
        <f>'Con B&amp;S'!H39</f>
        <v>6939554.9399999995</v>
      </c>
      <c r="J20" s="376">
        <f>1872210</f>
        <v>1872210</v>
      </c>
      <c r="K20" s="423">
        <f t="shared" si="1"/>
        <v>5067344.9399999995</v>
      </c>
    </row>
    <row r="21" spans="4:11" ht="15.75">
      <c r="D21" s="130" t="s">
        <v>187</v>
      </c>
      <c r="F21" s="376">
        <f t="shared" si="2"/>
        <v>5649.70071</v>
      </c>
      <c r="G21" s="376">
        <f t="shared" si="3"/>
        <v>5851.389</v>
      </c>
      <c r="H21" s="133"/>
      <c r="I21" s="376">
        <f>'Con B&amp;S'!H40</f>
        <v>5649700.71</v>
      </c>
      <c r="J21" s="376">
        <v>5851389</v>
      </c>
      <c r="K21" s="423">
        <f t="shared" si="1"/>
        <v>-201688.29000000004</v>
      </c>
    </row>
    <row r="22" spans="4:11" ht="15.75">
      <c r="D22" s="130" t="s">
        <v>189</v>
      </c>
      <c r="F22" s="376"/>
      <c r="G22" s="376"/>
      <c r="H22" s="133"/>
      <c r="I22" s="376"/>
      <c r="J22" s="376"/>
      <c r="K22" s="423">
        <f t="shared" si="1"/>
        <v>0</v>
      </c>
    </row>
    <row r="23" spans="5:11" ht="15.75">
      <c r="E23" s="130" t="s">
        <v>145</v>
      </c>
      <c r="F23" s="376">
        <f t="shared" si="2"/>
        <v>266232.33088</v>
      </c>
      <c r="G23" s="376">
        <f t="shared" si="3"/>
        <v>273903.047</v>
      </c>
      <c r="H23" s="133"/>
      <c r="I23" s="376">
        <f>'Con B&amp;S'!H31+'Con B&amp;S'!H27</f>
        <v>266232330.88</v>
      </c>
      <c r="J23" s="376">
        <f>209557049+64345998</f>
        <v>273903047</v>
      </c>
      <c r="K23" s="423">
        <f t="shared" si="1"/>
        <v>-7670716.120000005</v>
      </c>
    </row>
    <row r="24" spans="5:11" ht="15.75">
      <c r="E24" s="130" t="s">
        <v>199</v>
      </c>
      <c r="F24" s="376">
        <f t="shared" si="2"/>
        <v>10214.409</v>
      </c>
      <c r="G24" s="376">
        <f t="shared" si="3"/>
        <v>23122.458</v>
      </c>
      <c r="H24" s="133"/>
      <c r="I24" s="376">
        <f>'Con B&amp;S'!H23</f>
        <v>10214409</v>
      </c>
      <c r="J24" s="376">
        <f>8408672+14713786</f>
        <v>23122458</v>
      </c>
      <c r="K24" s="423">
        <f t="shared" si="1"/>
        <v>-12908049</v>
      </c>
    </row>
    <row r="25" spans="5:11" ht="15.75">
      <c r="E25" s="130" t="s">
        <v>200</v>
      </c>
      <c r="F25" s="376">
        <f t="shared" si="2"/>
        <v>54301.95641</v>
      </c>
      <c r="G25" s="376">
        <f t="shared" si="3"/>
        <v>65024.152</v>
      </c>
      <c r="H25" s="133"/>
      <c r="I25" s="376">
        <f>'Con B&amp;S'!H34+'Con B&amp;S'!H38</f>
        <v>54301956.41</v>
      </c>
      <c r="J25" s="376">
        <f>54855534+10168618</f>
        <v>65024152</v>
      </c>
      <c r="K25" s="423">
        <f t="shared" si="1"/>
        <v>-10722195.590000004</v>
      </c>
    </row>
    <row r="26" spans="6:11" ht="15.75">
      <c r="F26" s="378"/>
      <c r="G26" s="133"/>
      <c r="H26" s="133"/>
      <c r="I26" s="376"/>
      <c r="J26" s="376"/>
      <c r="K26" s="423">
        <f t="shared" si="1"/>
        <v>0</v>
      </c>
    </row>
    <row r="27" spans="6:11" ht="16.5" thickBot="1">
      <c r="F27" s="391">
        <f>SUM(F18:F25)</f>
        <v>370662.82315999997</v>
      </c>
      <c r="G27" s="391">
        <f>SUM(G18:G25)</f>
        <v>399313.009</v>
      </c>
      <c r="H27" s="133"/>
      <c r="I27" s="391">
        <f>SUM(I18:I25)</f>
        <v>370662823.15999997</v>
      </c>
      <c r="J27" s="391">
        <f>SUM(J18:J25)</f>
        <v>399313009</v>
      </c>
      <c r="K27" s="423">
        <f t="shared" si="1"/>
        <v>-28650185.840000033</v>
      </c>
    </row>
    <row r="28" spans="2:14" ht="16.5" thickTop="1">
      <c r="B28" s="130">
        <v>6</v>
      </c>
      <c r="C28" s="130" t="s">
        <v>190</v>
      </c>
      <c r="F28" s="378"/>
      <c r="G28" s="133"/>
      <c r="H28" s="133"/>
      <c r="I28" s="376"/>
      <c r="J28" s="376"/>
      <c r="K28" s="423"/>
      <c r="N28" s="376">
        <f>'Con B&amp;S'!B126</f>
        <v>131401608.84</v>
      </c>
    </row>
    <row r="29" spans="4:11" ht="15.75">
      <c r="D29" s="130" t="s">
        <v>191</v>
      </c>
      <c r="F29" s="376">
        <f aca="true" t="shared" si="4" ref="F29:G33">+I29/1000</f>
        <v>645798.9690599999</v>
      </c>
      <c r="G29" s="376">
        <f t="shared" si="4"/>
        <v>628979.886</v>
      </c>
      <c r="H29" s="133"/>
      <c r="I29" s="423">
        <f>'Con B&amp;S'!H50+'Con B&amp;S'!H59</f>
        <v>645798969.06</v>
      </c>
      <c r="J29" s="376">
        <f>383072135+196728588+29324632+19854531</f>
        <v>628979886</v>
      </c>
      <c r="K29" s="423">
        <f t="shared" si="1"/>
        <v>16819083.059999943</v>
      </c>
    </row>
    <row r="30" spans="4:14" ht="15.75">
      <c r="D30" s="130" t="s">
        <v>297</v>
      </c>
      <c r="F30" s="376">
        <f t="shared" si="4"/>
        <v>51530.06567</v>
      </c>
      <c r="G30" s="376">
        <f t="shared" si="4"/>
        <v>51233.087</v>
      </c>
      <c r="H30" s="133"/>
      <c r="I30" s="376">
        <f>'Con B&amp;S'!H48</f>
        <v>51530065.67</v>
      </c>
      <c r="J30" s="376">
        <v>51233087</v>
      </c>
      <c r="K30" s="423">
        <f t="shared" si="1"/>
        <v>296978.6700000018</v>
      </c>
      <c r="N30" s="376"/>
    </row>
    <row r="31" spans="4:14" ht="15.75">
      <c r="D31" s="130" t="s">
        <v>271</v>
      </c>
      <c r="F31" s="376">
        <f t="shared" si="4"/>
        <v>226896.18889000002</v>
      </c>
      <c r="G31" s="376">
        <f t="shared" si="4"/>
        <v>208719.345</v>
      </c>
      <c r="H31" s="133"/>
      <c r="I31" s="376">
        <f>'Con B&amp;S'!H49+'Con B&amp;S'!H51+'Con B&amp;S'!H60+'Con B&amp;S'!H57+'Con B&amp;S'!H56</f>
        <v>226896188.89000002</v>
      </c>
      <c r="J31" s="376">
        <f>201933819+6160049+128556+496921</f>
        <v>208719345</v>
      </c>
      <c r="K31" s="423">
        <f t="shared" si="1"/>
        <v>18176843.890000015</v>
      </c>
      <c r="N31" s="376"/>
    </row>
    <row r="32" spans="4:11" ht="15.75">
      <c r="D32" s="130" t="s">
        <v>263</v>
      </c>
      <c r="F32" s="376">
        <f t="shared" si="4"/>
        <v>16550.990480000004</v>
      </c>
      <c r="G32" s="376">
        <f t="shared" si="4"/>
        <v>15047.63</v>
      </c>
      <c r="H32" s="133"/>
      <c r="I32" s="376">
        <f>'Con B&amp;S'!H58</f>
        <v>16550990.480000002</v>
      </c>
      <c r="J32" s="376">
        <v>15047630</v>
      </c>
      <c r="K32" s="423">
        <f t="shared" si="1"/>
        <v>1503360.4800000023</v>
      </c>
    </row>
    <row r="33" spans="4:11" ht="15.75">
      <c r="D33" s="130" t="s">
        <v>188</v>
      </c>
      <c r="F33" s="376">
        <f t="shared" si="4"/>
        <v>0</v>
      </c>
      <c r="G33" s="376">
        <f t="shared" si="4"/>
        <v>0</v>
      </c>
      <c r="H33" s="133"/>
      <c r="I33" s="376"/>
      <c r="J33" s="376"/>
      <c r="K33" s="423">
        <f t="shared" si="1"/>
        <v>0</v>
      </c>
    </row>
    <row r="34" spans="7:11" ht="15.75">
      <c r="G34" s="133"/>
      <c r="H34" s="133"/>
      <c r="I34" s="376"/>
      <c r="J34" s="376"/>
      <c r="K34" s="423">
        <f t="shared" si="1"/>
        <v>0</v>
      </c>
    </row>
    <row r="35" spans="6:11" ht="15.75">
      <c r="F35" s="392">
        <f>SUM(F29:F34)</f>
        <v>940776.2141</v>
      </c>
      <c r="G35" s="392">
        <f>SUM(G29:G34)</f>
        <v>903979.948</v>
      </c>
      <c r="H35" s="133"/>
      <c r="I35" s="392">
        <f>SUM(I29:I34)</f>
        <v>940776214.0999999</v>
      </c>
      <c r="J35" s="392">
        <f>SUM(J29:J34)</f>
        <v>903979948</v>
      </c>
      <c r="K35" s="423">
        <f t="shared" si="1"/>
        <v>36796266.099999905</v>
      </c>
    </row>
    <row r="36" spans="6:11" ht="15.75">
      <c r="F36" s="378"/>
      <c r="G36" s="133"/>
      <c r="H36" s="133"/>
      <c r="I36" s="376"/>
      <c r="J36" s="376"/>
      <c r="K36" s="423">
        <f t="shared" si="1"/>
        <v>0</v>
      </c>
    </row>
    <row r="37" spans="7:11" ht="15.75">
      <c r="G37" s="133"/>
      <c r="H37" s="133"/>
      <c r="I37" s="376"/>
      <c r="J37" s="376"/>
      <c r="K37" s="423">
        <f t="shared" si="1"/>
        <v>0</v>
      </c>
    </row>
    <row r="38" spans="2:11" ht="15.75">
      <c r="B38" s="130">
        <v>7</v>
      </c>
      <c r="C38" s="130" t="s">
        <v>192</v>
      </c>
      <c r="F38" s="376">
        <f>+F27-F35</f>
        <v>-570113.3909400001</v>
      </c>
      <c r="G38" s="376">
        <f>+G27-G35</f>
        <v>-504666.93899999995</v>
      </c>
      <c r="H38" s="133"/>
      <c r="I38" s="376">
        <f>+I27-I35</f>
        <v>-570113390.9399999</v>
      </c>
      <c r="J38" s="376">
        <f>+J27-J35</f>
        <v>-504666939</v>
      </c>
      <c r="K38" s="423">
        <f t="shared" si="1"/>
        <v>-65446451.93999994</v>
      </c>
    </row>
    <row r="39" spans="7:11" ht="15.75">
      <c r="G39" s="133"/>
      <c r="H39" s="133"/>
      <c r="I39" s="376"/>
      <c r="J39" s="376"/>
      <c r="K39" s="423">
        <f t="shared" si="1"/>
        <v>0</v>
      </c>
    </row>
    <row r="40" spans="6:11" ht="16.5" thickBot="1">
      <c r="F40" s="391">
        <f>+SUM(F12:F15,F38)</f>
        <v>-330496.49448200007</v>
      </c>
      <c r="G40" s="391">
        <f>+SUM(G12:G15,G38)</f>
        <v>-265803.70699999994</v>
      </c>
      <c r="H40" s="133"/>
      <c r="I40" s="391">
        <f>+SUM(I12:I15,I38)</f>
        <v>-330496494.48199993</v>
      </c>
      <c r="J40" s="391">
        <f>+SUM(J12:J15,J38)</f>
        <v>-265803707</v>
      </c>
      <c r="K40" s="423">
        <f t="shared" si="1"/>
        <v>-64692787.48199993</v>
      </c>
    </row>
    <row r="41" spans="7:11" ht="16.5" thickTop="1">
      <c r="G41" s="133"/>
      <c r="H41" s="133"/>
      <c r="I41" s="376"/>
      <c r="J41" s="376"/>
      <c r="K41" s="423">
        <f t="shared" si="1"/>
        <v>0</v>
      </c>
    </row>
    <row r="42" spans="2:11" ht="15.75">
      <c r="B42" s="130">
        <v>8</v>
      </c>
      <c r="C42" s="130" t="s">
        <v>193</v>
      </c>
      <c r="G42" s="133"/>
      <c r="H42" s="133"/>
      <c r="I42" s="376"/>
      <c r="J42" s="376"/>
      <c r="K42" s="423">
        <f t="shared" si="1"/>
        <v>0</v>
      </c>
    </row>
    <row r="43" spans="3:11" ht="15.75">
      <c r="C43" s="130" t="s">
        <v>456</v>
      </c>
      <c r="F43" s="376">
        <f>+I43/1000</f>
        <v>188275.313</v>
      </c>
      <c r="G43" s="376">
        <f>+J43/1000</f>
        <v>188275.313</v>
      </c>
      <c r="H43" s="133"/>
      <c r="I43" s="376">
        <f>'Con B&amp;S'!H8</f>
        <v>188275313</v>
      </c>
      <c r="J43" s="376">
        <v>188275313</v>
      </c>
      <c r="K43" s="423">
        <f t="shared" si="1"/>
        <v>0</v>
      </c>
    </row>
    <row r="44" spans="3:11" ht="15.75">
      <c r="C44" s="130" t="s">
        <v>194</v>
      </c>
      <c r="F44" s="376"/>
      <c r="G44" s="376"/>
      <c r="H44" s="133"/>
      <c r="I44" s="376"/>
      <c r="J44" s="376"/>
      <c r="K44" s="423">
        <f t="shared" si="1"/>
        <v>0</v>
      </c>
    </row>
    <row r="45" spans="4:11" ht="15.75">
      <c r="D45" s="130" t="s">
        <v>195</v>
      </c>
      <c r="F45" s="376">
        <f aca="true" t="shared" si="5" ref="F45:G51">+I45/1000</f>
        <v>403165.878</v>
      </c>
      <c r="G45" s="376">
        <f t="shared" si="5"/>
        <v>403292.628</v>
      </c>
      <c r="H45" s="133"/>
      <c r="I45" s="376">
        <f>403292628-126750</f>
        <v>403165878</v>
      </c>
      <c r="J45" s="376">
        <f>403292628+24711492-24711492</f>
        <v>403292628</v>
      </c>
      <c r="K45" s="423">
        <f t="shared" si="1"/>
        <v>-126750</v>
      </c>
    </row>
    <row r="46" spans="4:11" ht="15.75">
      <c r="D46" s="130" t="s">
        <v>196</v>
      </c>
      <c r="F46" s="376">
        <f t="shared" si="5"/>
        <v>0</v>
      </c>
      <c r="G46" s="376">
        <f t="shared" si="5"/>
        <v>0</v>
      </c>
      <c r="H46" s="133"/>
      <c r="I46" s="376"/>
      <c r="J46" s="376"/>
      <c r="K46" s="423">
        <f t="shared" si="1"/>
        <v>0</v>
      </c>
    </row>
    <row r="47" spans="4:11" ht="15.75">
      <c r="D47" s="130" t="s">
        <v>298</v>
      </c>
      <c r="F47" s="376">
        <f t="shared" si="5"/>
        <v>0</v>
      </c>
      <c r="G47" s="376">
        <f t="shared" si="5"/>
        <v>0</v>
      </c>
      <c r="H47" s="133"/>
      <c r="I47" s="376"/>
      <c r="J47" s="376"/>
      <c r="K47" s="423">
        <f t="shared" si="1"/>
        <v>0</v>
      </c>
    </row>
    <row r="48" spans="5:11" ht="15.75">
      <c r="E48" s="130" t="s">
        <v>131</v>
      </c>
      <c r="F48" s="376">
        <f t="shared" si="5"/>
        <v>24711.492</v>
      </c>
      <c r="G48" s="376">
        <f t="shared" si="5"/>
        <v>24711.492</v>
      </c>
      <c r="H48" s="133"/>
      <c r="I48" s="376">
        <v>24711492</v>
      </c>
      <c r="J48" s="376">
        <v>24711492</v>
      </c>
      <c r="K48" s="423"/>
    </row>
    <row r="49" spans="5:11" ht="15.75">
      <c r="E49" s="130" t="s">
        <v>132</v>
      </c>
      <c r="F49" s="376">
        <f t="shared" si="5"/>
        <v>1095.529</v>
      </c>
      <c r="G49" s="376">
        <f t="shared" si="5"/>
        <v>1095.529</v>
      </c>
      <c r="H49" s="133"/>
      <c r="I49" s="376">
        <v>1095529</v>
      </c>
      <c r="J49" s="376">
        <v>1095529</v>
      </c>
      <c r="K49" s="423"/>
    </row>
    <row r="50" spans="5:11" ht="15.75">
      <c r="E50" s="130" t="s">
        <v>133</v>
      </c>
      <c r="F50" s="376">
        <f t="shared" si="5"/>
        <v>671.919</v>
      </c>
      <c r="G50" s="376">
        <f t="shared" si="5"/>
        <v>671.919</v>
      </c>
      <c r="H50" s="133"/>
      <c r="I50" s="376">
        <v>671919</v>
      </c>
      <c r="J50" s="376">
        <v>671919</v>
      </c>
      <c r="K50" s="423"/>
    </row>
    <row r="51" spans="4:11" ht="15.75">
      <c r="D51" s="130" t="s">
        <v>197</v>
      </c>
      <c r="F51" s="376">
        <f t="shared" si="5"/>
        <v>0</v>
      </c>
      <c r="G51" s="376">
        <f t="shared" si="5"/>
        <v>0</v>
      </c>
      <c r="H51" s="133"/>
      <c r="I51" s="376"/>
      <c r="J51" s="376"/>
      <c r="K51" s="423">
        <f t="shared" si="1"/>
        <v>0</v>
      </c>
    </row>
    <row r="52" spans="6:11" ht="15.75">
      <c r="F52" s="376"/>
      <c r="G52" s="376"/>
      <c r="H52" s="133"/>
      <c r="I52" s="376"/>
      <c r="J52" s="376"/>
      <c r="K52" s="423"/>
    </row>
    <row r="53" spans="6:11" ht="15.75">
      <c r="F53" s="376"/>
      <c r="G53" s="376"/>
      <c r="H53" s="133"/>
      <c r="I53" s="376"/>
      <c r="J53" s="376"/>
      <c r="K53" s="423"/>
    </row>
    <row r="54" spans="4:11" ht="15.75">
      <c r="D54" s="130" t="s">
        <v>426</v>
      </c>
      <c r="F54" s="376">
        <f>+I54/1000</f>
        <v>-966538.888886</v>
      </c>
      <c r="G54" s="376">
        <f>+J54/1000</f>
        <v>-901972.851</v>
      </c>
      <c r="H54" s="133"/>
      <c r="I54" s="376">
        <f>'Con B&amp;S'!H12</f>
        <v>-966538888.886</v>
      </c>
      <c r="J54" s="376">
        <v>-901972851</v>
      </c>
      <c r="K54" s="423">
        <f t="shared" si="1"/>
        <v>-64566037.88600004</v>
      </c>
    </row>
    <row r="55" ht="15.75">
      <c r="D55" s="130" t="s">
        <v>188</v>
      </c>
    </row>
    <row r="56" spans="6:11" ht="15.75">
      <c r="F56" s="376"/>
      <c r="G56" s="376"/>
      <c r="H56" s="133"/>
      <c r="I56" s="376"/>
      <c r="J56" s="376"/>
      <c r="K56" s="423">
        <f t="shared" si="1"/>
        <v>0</v>
      </c>
    </row>
    <row r="57" spans="7:11" ht="15.75">
      <c r="G57" s="133"/>
      <c r="H57" s="133"/>
      <c r="I57" s="376"/>
      <c r="J57" s="376"/>
      <c r="K57" s="423">
        <f t="shared" si="1"/>
        <v>0</v>
      </c>
    </row>
    <row r="58" spans="2:11" ht="15.75">
      <c r="B58" s="130">
        <v>9</v>
      </c>
      <c r="C58" s="130" t="s">
        <v>174</v>
      </c>
      <c r="F58" s="376">
        <f aca="true" t="shared" si="6" ref="F58:G60">+I58/1000</f>
        <v>0</v>
      </c>
      <c r="G58" s="376">
        <f t="shared" si="6"/>
        <v>0</v>
      </c>
      <c r="H58" s="133"/>
      <c r="I58" s="376">
        <f>'Con B&amp;S'!H14</f>
        <v>0</v>
      </c>
      <c r="J58" s="376">
        <v>0</v>
      </c>
      <c r="K58" s="423">
        <f t="shared" si="1"/>
        <v>0</v>
      </c>
    </row>
    <row r="59" spans="2:11" ht="15.75">
      <c r="B59" s="130">
        <v>10</v>
      </c>
      <c r="C59" s="130" t="s">
        <v>478</v>
      </c>
      <c r="F59" s="376">
        <f t="shared" si="6"/>
        <v>6206.138</v>
      </c>
      <c r="G59" s="376">
        <f t="shared" si="6"/>
        <v>6206.138</v>
      </c>
      <c r="H59" s="133"/>
      <c r="I59" s="376">
        <f>'Con B&amp;S'!H18</f>
        <v>6206138</v>
      </c>
      <c r="J59" s="376">
        <f>26055769+4900-19854531</f>
        <v>6206138</v>
      </c>
      <c r="K59" s="423">
        <f t="shared" si="1"/>
        <v>0</v>
      </c>
    </row>
    <row r="60" spans="2:11" ht="15.75">
      <c r="B60" s="130">
        <v>11</v>
      </c>
      <c r="C60" s="130" t="s">
        <v>201</v>
      </c>
      <c r="F60" s="376">
        <f t="shared" si="6"/>
        <v>11916.125</v>
      </c>
      <c r="G60" s="376">
        <f t="shared" si="6"/>
        <v>11916.125</v>
      </c>
      <c r="H60" s="133"/>
      <c r="I60" s="376">
        <f>'Con B&amp;S'!H17</f>
        <v>11916125</v>
      </c>
      <c r="J60" s="376">
        <v>11916125</v>
      </c>
      <c r="K60" s="423">
        <f t="shared" si="1"/>
        <v>0</v>
      </c>
    </row>
    <row r="61" spans="7:11" ht="15.75">
      <c r="G61" s="133"/>
      <c r="H61" s="133"/>
      <c r="I61" s="376"/>
      <c r="J61" s="376"/>
      <c r="K61" s="423">
        <f t="shared" si="1"/>
        <v>0</v>
      </c>
    </row>
    <row r="62" spans="2:11" ht="16.5" thickBot="1">
      <c r="B62" s="130">
        <v>12</v>
      </c>
      <c r="C62" s="130" t="s">
        <v>198</v>
      </c>
      <c r="F62" s="391">
        <f>SUM(F43:F61)</f>
        <v>-330496.4948860001</v>
      </c>
      <c r="G62" s="391">
        <f>SUM(G43:G61)</f>
        <v>-265803.7070000001</v>
      </c>
      <c r="H62" s="133"/>
      <c r="I62" s="391">
        <f>SUM(I43:I61)</f>
        <v>-330496494.88600004</v>
      </c>
      <c r="J62" s="391">
        <f>SUM(J43:J61)</f>
        <v>-265803707</v>
      </c>
      <c r="K62" s="423">
        <f t="shared" si="1"/>
        <v>-64692787.88600004</v>
      </c>
    </row>
    <row r="63" spans="7:11" ht="16.5" thickTop="1">
      <c r="G63" s="133"/>
      <c r="H63" s="133"/>
      <c r="I63" s="376"/>
      <c r="J63" s="376"/>
      <c r="K63" s="423">
        <f t="shared" si="1"/>
        <v>0</v>
      </c>
    </row>
    <row r="64" spans="6:11" ht="15.75">
      <c r="F64" s="376">
        <f>+F40-F62</f>
        <v>0.000404000049456954</v>
      </c>
      <c r="G64" s="133">
        <f>+G40-G62</f>
        <v>0</v>
      </c>
      <c r="H64" s="133"/>
      <c r="I64" s="376">
        <f>+I40-I62</f>
        <v>0.40400010347366333</v>
      </c>
      <c r="J64" s="376">
        <f>+J40-J62</f>
        <v>0</v>
      </c>
      <c r="K64" s="423">
        <f t="shared" si="1"/>
        <v>0.40400010347366333</v>
      </c>
    </row>
    <row r="65" spans="7:11" ht="15.75">
      <c r="G65" s="133"/>
      <c r="H65" s="133"/>
      <c r="I65" s="376"/>
      <c r="J65" s="376"/>
      <c r="K65" s="376"/>
    </row>
    <row r="66" spans="7:11" ht="15.75">
      <c r="G66" s="133"/>
      <c r="H66" s="133"/>
      <c r="I66" s="376"/>
      <c r="J66" s="376"/>
      <c r="K66" s="376"/>
    </row>
    <row r="67" spans="7:11" ht="15.75">
      <c r="G67" s="133"/>
      <c r="H67" s="133"/>
      <c r="I67" s="376"/>
      <c r="J67" s="376"/>
      <c r="K67" s="376"/>
    </row>
    <row r="68" spans="7:11" ht="15.75">
      <c r="G68" s="133"/>
      <c r="H68" s="133"/>
      <c r="I68" s="376"/>
      <c r="J68" s="376"/>
      <c r="K68" s="376"/>
    </row>
    <row r="69" spans="7:11" ht="15.75">
      <c r="G69" s="133"/>
      <c r="H69" s="133"/>
      <c r="I69" s="376"/>
      <c r="J69" s="376"/>
      <c r="K69" s="376"/>
    </row>
    <row r="70" spans="7:11" ht="15.75">
      <c r="G70" s="133"/>
      <c r="H70" s="133"/>
      <c r="I70" s="376"/>
      <c r="J70" s="376"/>
      <c r="K70" s="376"/>
    </row>
    <row r="71" spans="7:11" ht="15.75">
      <c r="G71" s="133"/>
      <c r="H71" s="133"/>
      <c r="I71" s="376"/>
      <c r="J71" s="376"/>
      <c r="K71" s="376"/>
    </row>
    <row r="72" spans="7:11" ht="15.75">
      <c r="G72" s="133"/>
      <c r="H72" s="133"/>
      <c r="I72" s="376"/>
      <c r="J72" s="376"/>
      <c r="K72" s="376"/>
    </row>
    <row r="73" spans="7:11" ht="15.75">
      <c r="G73" s="133"/>
      <c r="H73" s="133"/>
      <c r="I73" s="376"/>
      <c r="J73" s="376"/>
      <c r="K73" s="376"/>
    </row>
    <row r="74" spans="7:11" ht="15.75">
      <c r="G74" s="133"/>
      <c r="H74" s="133"/>
      <c r="I74" s="376"/>
      <c r="J74" s="376"/>
      <c r="K74" s="376"/>
    </row>
    <row r="75" spans="7:11" ht="15.75">
      <c r="G75" s="133"/>
      <c r="H75" s="133"/>
      <c r="I75" s="376"/>
      <c r="J75" s="376"/>
      <c r="K75" s="376"/>
    </row>
    <row r="76" spans="7:11" ht="15.75">
      <c r="G76" s="133"/>
      <c r="H76" s="133"/>
      <c r="I76" s="376"/>
      <c r="J76" s="376"/>
      <c r="K76" s="376"/>
    </row>
    <row r="77" spans="7:11" ht="15.75">
      <c r="G77" s="133"/>
      <c r="H77" s="133"/>
      <c r="I77" s="376"/>
      <c r="J77" s="376"/>
      <c r="K77" s="376"/>
    </row>
    <row r="78" spans="7:11" ht="15.75">
      <c r="G78" s="133"/>
      <c r="H78" s="133"/>
      <c r="I78" s="376"/>
      <c r="J78" s="376"/>
      <c r="K78" s="376"/>
    </row>
    <row r="79" spans="7:11" ht="15.75">
      <c r="G79" s="133"/>
      <c r="H79" s="133"/>
      <c r="I79" s="376"/>
      <c r="J79" s="376"/>
      <c r="K79" s="376"/>
    </row>
    <row r="80" spans="7:11" ht="15.75">
      <c r="G80" s="133"/>
      <c r="H80" s="133"/>
      <c r="I80" s="376"/>
      <c r="J80" s="376"/>
      <c r="K80" s="376"/>
    </row>
    <row r="81" spans="7:11" ht="15.75">
      <c r="G81" s="133"/>
      <c r="H81" s="133"/>
      <c r="I81" s="376"/>
      <c r="J81" s="376"/>
      <c r="K81" s="376"/>
    </row>
    <row r="82" spans="7:11" ht="15.75">
      <c r="G82" s="133"/>
      <c r="H82" s="133"/>
      <c r="I82" s="376"/>
      <c r="J82" s="376"/>
      <c r="K82" s="376"/>
    </row>
    <row r="83" spans="7:11" ht="15.75">
      <c r="G83" s="133"/>
      <c r="H83" s="133"/>
      <c r="I83" s="376"/>
      <c r="J83" s="376"/>
      <c r="K83" s="376"/>
    </row>
    <row r="84" spans="7:11" ht="15.75">
      <c r="G84" s="133"/>
      <c r="H84" s="133"/>
      <c r="I84" s="376"/>
      <c r="J84" s="376"/>
      <c r="K84" s="376"/>
    </row>
    <row r="85" spans="7:11" ht="15.75">
      <c r="G85" s="133"/>
      <c r="H85" s="133"/>
      <c r="I85" s="376"/>
      <c r="J85" s="376"/>
      <c r="K85" s="376"/>
    </row>
    <row r="86" spans="7:11" ht="15.75">
      <c r="G86" s="133"/>
      <c r="H86" s="133"/>
      <c r="I86" s="376"/>
      <c r="J86" s="376"/>
      <c r="K86" s="376"/>
    </row>
    <row r="87" spans="7:11" ht="15.75">
      <c r="G87" s="133"/>
      <c r="H87" s="133"/>
      <c r="I87" s="376"/>
      <c r="J87" s="376"/>
      <c r="K87" s="376"/>
    </row>
    <row r="88" spans="7:11" ht="15.75">
      <c r="G88" s="133"/>
      <c r="H88" s="133"/>
      <c r="I88" s="376"/>
      <c r="J88" s="376"/>
      <c r="K88" s="376"/>
    </row>
    <row r="89" spans="7:11" ht="15.75">
      <c r="G89" s="133"/>
      <c r="H89" s="133"/>
      <c r="I89" s="376"/>
      <c r="J89" s="376"/>
      <c r="K89" s="376"/>
    </row>
    <row r="90" spans="7:11" ht="15.75">
      <c r="G90" s="133"/>
      <c r="H90" s="133"/>
      <c r="I90" s="376"/>
      <c r="J90" s="376"/>
      <c r="K90" s="376"/>
    </row>
    <row r="91" spans="7:11" ht="15.75">
      <c r="G91" s="133"/>
      <c r="H91" s="133"/>
      <c r="I91" s="376"/>
      <c r="J91" s="376"/>
      <c r="K91" s="376"/>
    </row>
    <row r="92" spans="7:11" ht="15.75">
      <c r="G92" s="133"/>
      <c r="H92" s="133"/>
      <c r="I92" s="376"/>
      <c r="J92" s="376"/>
      <c r="K92" s="376"/>
    </row>
    <row r="93" spans="7:11" ht="15.75">
      <c r="G93" s="133"/>
      <c r="H93" s="133"/>
      <c r="I93" s="376"/>
      <c r="J93" s="376"/>
      <c r="K93" s="376"/>
    </row>
  </sheetData>
  <printOptions/>
  <pageMargins left="0.87" right="0.52" top="1" bottom="0.53" header="0.5" footer="0.5"/>
  <pageSetup fitToHeight="1" fitToWidth="1" horizontalDpi="300" verticalDpi="3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9"/>
  <sheetViews>
    <sheetView zoomScale="75" zoomScaleNormal="75" workbookViewId="0" topLeftCell="A1">
      <selection activeCell="E15" sqref="E15"/>
    </sheetView>
  </sheetViews>
  <sheetFormatPr defaultColWidth="9.140625" defaultRowHeight="12.75"/>
  <cols>
    <col min="1" max="1" width="3.140625" style="0" customWidth="1"/>
    <col min="2" max="2" width="4.57421875" style="0" customWidth="1"/>
    <col min="5" max="5" width="11.421875" style="0" bestFit="1" customWidth="1"/>
    <col min="6" max="6" width="9.8515625" style="0" customWidth="1"/>
    <col min="9" max="9" width="14.00390625" style="0" bestFit="1" customWidth="1"/>
    <col min="10" max="10" width="13.00390625" style="0" bestFit="1" customWidth="1"/>
    <col min="11" max="11" width="11.7109375" style="0" bestFit="1" customWidth="1"/>
  </cols>
  <sheetData>
    <row r="2" ht="12.75">
      <c r="A2" s="121" t="s">
        <v>328</v>
      </c>
    </row>
    <row r="3" ht="12.75">
      <c r="A3" s="121" t="s">
        <v>134</v>
      </c>
    </row>
    <row r="4" ht="12.75">
      <c r="A4" s="121"/>
    </row>
    <row r="5" ht="12.75">
      <c r="A5" s="397" t="s">
        <v>202</v>
      </c>
    </row>
    <row r="7" spans="1:2" ht="12.75">
      <c r="A7">
        <v>1</v>
      </c>
      <c r="B7" s="121" t="s">
        <v>76</v>
      </c>
    </row>
    <row r="8" ht="12.75">
      <c r="B8" t="s">
        <v>138</v>
      </c>
    </row>
    <row r="9" ht="12.75">
      <c r="B9" t="s">
        <v>75</v>
      </c>
    </row>
    <row r="11" spans="1:11" ht="13.5" customHeight="1">
      <c r="A11">
        <v>2</v>
      </c>
      <c r="B11" s="121" t="s">
        <v>203</v>
      </c>
      <c r="I11" s="118" t="s">
        <v>77</v>
      </c>
      <c r="K11" s="118" t="s">
        <v>79</v>
      </c>
    </row>
    <row r="12" spans="2:11" ht="13.5" customHeight="1">
      <c r="B12" s="121"/>
      <c r="I12" s="118" t="s">
        <v>78</v>
      </c>
      <c r="K12" s="118" t="s">
        <v>80</v>
      </c>
    </row>
    <row r="13" spans="2:11" ht="13.5" customHeight="1">
      <c r="B13" s="121"/>
      <c r="I13" s="118" t="s">
        <v>135</v>
      </c>
      <c r="K13" s="118" t="s">
        <v>135</v>
      </c>
    </row>
    <row r="14" spans="2:11" ht="13.5" customHeight="1">
      <c r="B14" s="121"/>
      <c r="I14" s="118" t="s">
        <v>464</v>
      </c>
      <c r="K14" s="118" t="s">
        <v>464</v>
      </c>
    </row>
    <row r="15" spans="2:11" ht="13.5" customHeight="1">
      <c r="B15" s="121"/>
      <c r="I15" s="118"/>
      <c r="K15" s="118"/>
    </row>
    <row r="16" spans="2:11" ht="12.75">
      <c r="B16" t="s">
        <v>81</v>
      </c>
      <c r="I16" s="386">
        <v>0</v>
      </c>
      <c r="K16" s="420">
        <f>468440.74/1000</f>
        <v>468.44074</v>
      </c>
    </row>
    <row r="17" spans="9:11" ht="12.75">
      <c r="I17" s="386"/>
      <c r="K17" s="420"/>
    </row>
    <row r="18" spans="2:11" ht="12.75">
      <c r="B18" t="s">
        <v>151</v>
      </c>
      <c r="I18" s="386"/>
      <c r="K18" s="420"/>
    </row>
    <row r="19" spans="2:11" ht="12.75">
      <c r="B19" t="s">
        <v>487</v>
      </c>
      <c r="I19" s="386"/>
      <c r="K19" s="420"/>
    </row>
    <row r="20" spans="2:11" ht="12.75">
      <c r="B20" t="s">
        <v>482</v>
      </c>
      <c r="I20" s="386"/>
      <c r="K20" s="420"/>
    </row>
    <row r="22" spans="1:2" ht="12.75">
      <c r="A22">
        <v>3</v>
      </c>
      <c r="B22" s="121" t="s">
        <v>82</v>
      </c>
    </row>
    <row r="23" ht="12.75">
      <c r="B23" s="120" t="s">
        <v>136</v>
      </c>
    </row>
    <row r="25" spans="1:11" ht="12.75">
      <c r="A25">
        <v>4</v>
      </c>
      <c r="B25" s="121" t="s">
        <v>449</v>
      </c>
      <c r="I25" s="118" t="s">
        <v>77</v>
      </c>
      <c r="K25" s="118" t="s">
        <v>79</v>
      </c>
    </row>
    <row r="26" spans="2:11" ht="12.75">
      <c r="B26" s="121"/>
      <c r="I26" s="118" t="s">
        <v>78</v>
      </c>
      <c r="K26" s="118" t="s">
        <v>80</v>
      </c>
    </row>
    <row r="27" spans="2:11" ht="12.75">
      <c r="B27" s="121"/>
      <c r="I27" s="118" t="s">
        <v>135</v>
      </c>
      <c r="K27" s="118" t="s">
        <v>135</v>
      </c>
    </row>
    <row r="28" spans="2:11" ht="12.75">
      <c r="B28" s="121"/>
      <c r="I28" s="118" t="s">
        <v>464</v>
      </c>
      <c r="K28" s="118" t="s">
        <v>464</v>
      </c>
    </row>
    <row r="29" ht="12.75">
      <c r="B29" s="121"/>
    </row>
    <row r="30" spans="2:11" ht="12.75">
      <c r="B30" s="387" t="s">
        <v>280</v>
      </c>
      <c r="C30" t="s">
        <v>83</v>
      </c>
      <c r="I30" s="119">
        <f>-'KLSE PL'!G59</f>
        <v>406.3777200000002</v>
      </c>
      <c r="K30" s="119">
        <f>-'KLSE PL'!I59-K31</f>
        <v>2126.4631240000003</v>
      </c>
    </row>
    <row r="31" spans="2:12" ht="12.75">
      <c r="B31" t="s">
        <v>281</v>
      </c>
      <c r="C31" t="s">
        <v>84</v>
      </c>
      <c r="I31" s="119">
        <v>0</v>
      </c>
      <c r="K31" s="119">
        <v>298</v>
      </c>
      <c r="L31" s="122"/>
    </row>
    <row r="32" spans="9:11" ht="12.75">
      <c r="I32" s="119"/>
      <c r="K32" s="119"/>
    </row>
    <row r="34" spans="1:2" ht="12.75">
      <c r="A34">
        <v>5</v>
      </c>
      <c r="B34" t="s">
        <v>217</v>
      </c>
    </row>
    <row r="36" spans="1:2" ht="12.75">
      <c r="A36">
        <v>6</v>
      </c>
      <c r="B36" t="s">
        <v>70</v>
      </c>
    </row>
    <row r="38" spans="1:2" ht="12.75">
      <c r="A38">
        <v>7</v>
      </c>
      <c r="B38" t="s">
        <v>87</v>
      </c>
    </row>
    <row r="40" spans="1:2" ht="12.75">
      <c r="A40">
        <v>8</v>
      </c>
      <c r="B40" s="121" t="s">
        <v>85</v>
      </c>
    </row>
    <row r="41" ht="12.75">
      <c r="B41" s="120" t="s">
        <v>483</v>
      </c>
    </row>
    <row r="42" ht="12.75">
      <c r="B42" s="120" t="s">
        <v>484</v>
      </c>
    </row>
    <row r="43" ht="12.75">
      <c r="B43" t="s">
        <v>485</v>
      </c>
    </row>
    <row r="44" ht="12.75">
      <c r="B44" t="s">
        <v>486</v>
      </c>
    </row>
    <row r="46" spans="1:2" ht="12.75">
      <c r="A46">
        <v>9</v>
      </c>
      <c r="B46" s="121" t="s">
        <v>86</v>
      </c>
    </row>
    <row r="48" ht="12.75">
      <c r="B48" t="s">
        <v>152</v>
      </c>
    </row>
    <row r="49" ht="12.75">
      <c r="B49" t="s">
        <v>473</v>
      </c>
    </row>
    <row r="50" ht="12.75">
      <c r="B50" t="s">
        <v>480</v>
      </c>
    </row>
    <row r="52" ht="12.75">
      <c r="B52" s="415" t="s">
        <v>156</v>
      </c>
    </row>
    <row r="53" ht="12.75">
      <c r="B53" s="415" t="s">
        <v>155</v>
      </c>
    </row>
    <row r="54" ht="12.75">
      <c r="B54" s="415" t="s">
        <v>153</v>
      </c>
    </row>
    <row r="55" ht="12.75">
      <c r="B55" t="s">
        <v>154</v>
      </c>
    </row>
    <row r="56" ht="12.75">
      <c r="B56" s="415" t="s">
        <v>157</v>
      </c>
    </row>
    <row r="57" ht="12.75">
      <c r="B57" s="415" t="s">
        <v>158</v>
      </c>
    </row>
    <row r="58" ht="12.75">
      <c r="B58" s="415" t="s">
        <v>159</v>
      </c>
    </row>
    <row r="59" ht="12.75">
      <c r="B59" s="415"/>
    </row>
    <row r="60" ht="12.75">
      <c r="B60" t="s">
        <v>470</v>
      </c>
    </row>
    <row r="61" ht="12.75">
      <c r="B61" t="s">
        <v>481</v>
      </c>
    </row>
    <row r="62" ht="12.75">
      <c r="B62" t="s">
        <v>474</v>
      </c>
    </row>
    <row r="63" ht="12.75">
      <c r="B63" t="s">
        <v>160</v>
      </c>
    </row>
    <row r="64" ht="12.75">
      <c r="B64" t="s">
        <v>161</v>
      </c>
    </row>
    <row r="65" ht="12.75">
      <c r="B65" t="s">
        <v>162</v>
      </c>
    </row>
    <row r="67" ht="12.75">
      <c r="B67" t="s">
        <v>471</v>
      </c>
    </row>
    <row r="69" spans="1:2" ht="12.75">
      <c r="A69">
        <v>10</v>
      </c>
      <c r="B69" s="121" t="s">
        <v>88</v>
      </c>
    </row>
    <row r="70" ht="12.75">
      <c r="B70" t="s">
        <v>89</v>
      </c>
    </row>
    <row r="72" spans="1:2" ht="12.75">
      <c r="A72">
        <v>11</v>
      </c>
      <c r="B72" s="121" t="s">
        <v>90</v>
      </c>
    </row>
    <row r="73" ht="12.75">
      <c r="B73" t="s">
        <v>91</v>
      </c>
    </row>
    <row r="74" ht="12.75">
      <c r="B74" t="s">
        <v>204</v>
      </c>
    </row>
    <row r="76" spans="1:2" ht="12.75">
      <c r="A76">
        <v>12</v>
      </c>
      <c r="B76" s="121" t="s">
        <v>92</v>
      </c>
    </row>
    <row r="77" ht="12.75">
      <c r="B77" t="s">
        <v>137</v>
      </c>
    </row>
    <row r="79" spans="6:9" s="123" customFormat="1" ht="12.75">
      <c r="F79" s="393" t="s">
        <v>205</v>
      </c>
      <c r="I79" s="393" t="s">
        <v>206</v>
      </c>
    </row>
    <row r="80" spans="6:9" s="123" customFormat="1" ht="12.75">
      <c r="F80" s="394" t="s">
        <v>464</v>
      </c>
      <c r="G80" s="395"/>
      <c r="H80" s="395"/>
      <c r="I80" s="394" t="s">
        <v>464</v>
      </c>
    </row>
    <row r="81" spans="6:9" s="123" customFormat="1" ht="12.75">
      <c r="F81" s="394"/>
      <c r="G81" s="395"/>
      <c r="H81" s="395"/>
      <c r="I81" s="394"/>
    </row>
    <row r="82" spans="2:9" s="123" customFormat="1" ht="12.75">
      <c r="B82" s="419"/>
      <c r="C82" s="419" t="s">
        <v>207</v>
      </c>
      <c r="D82" s="419"/>
      <c r="E82" s="419"/>
      <c r="F82" s="433" t="s">
        <v>102</v>
      </c>
      <c r="G82" s="433"/>
      <c r="H82" s="433"/>
      <c r="I82" s="434">
        <v>1533</v>
      </c>
    </row>
    <row r="83" spans="2:10" s="123" customFormat="1" ht="12.75">
      <c r="B83" s="419"/>
      <c r="C83" s="419" t="s">
        <v>208</v>
      </c>
      <c r="D83" s="419"/>
      <c r="E83" s="419"/>
      <c r="F83" s="435">
        <f>'KLSE BS'!F29-I83</f>
        <v>602143.3879730136</v>
      </c>
      <c r="G83" s="433"/>
      <c r="H83" s="433"/>
      <c r="I83" s="434">
        <f>'Con B&amp;S'!C111/1000</f>
        <v>43655.581086986305</v>
      </c>
      <c r="J83" s="436"/>
    </row>
    <row r="84" spans="2:9" s="123" customFormat="1" ht="12.75">
      <c r="B84" s="419"/>
      <c r="C84" s="419"/>
      <c r="D84" s="419"/>
      <c r="E84" s="419"/>
      <c r="F84" s="419"/>
      <c r="G84" s="419"/>
      <c r="H84" s="419"/>
      <c r="I84" s="419"/>
    </row>
    <row r="85" s="123" customFormat="1" ht="12.75">
      <c r="C85" s="123" t="s">
        <v>94</v>
      </c>
    </row>
    <row r="86" s="123" customFormat="1" ht="12.75">
      <c r="C86" s="123" t="s">
        <v>93</v>
      </c>
    </row>
    <row r="88" spans="1:2" ht="12.75">
      <c r="A88">
        <v>13</v>
      </c>
      <c r="B88" s="121" t="s">
        <v>95</v>
      </c>
    </row>
    <row r="89" ht="12.75">
      <c r="B89" s="120" t="s">
        <v>112</v>
      </c>
    </row>
    <row r="90" ht="12.75">
      <c r="B90" s="387"/>
    </row>
    <row r="91" ht="12.75">
      <c r="B91" s="120"/>
    </row>
    <row r="92" spans="1:2" ht="12.75">
      <c r="A92">
        <v>14</v>
      </c>
      <c r="B92" s="121" t="s">
        <v>96</v>
      </c>
    </row>
    <row r="93" ht="12.75">
      <c r="B93" t="s">
        <v>97</v>
      </c>
    </row>
    <row r="95" spans="1:2" ht="12.75">
      <c r="A95">
        <v>15</v>
      </c>
      <c r="B95" s="121" t="s">
        <v>98</v>
      </c>
    </row>
    <row r="96" ht="12.75">
      <c r="B96" t="s">
        <v>111</v>
      </c>
    </row>
    <row r="97" ht="12.75">
      <c r="B97" t="s">
        <v>475</v>
      </c>
    </row>
    <row r="100" spans="1:2" ht="12.75">
      <c r="A100">
        <v>16</v>
      </c>
      <c r="B100" s="121" t="s">
        <v>99</v>
      </c>
    </row>
    <row r="101" ht="12.75">
      <c r="B101" s="120" t="s">
        <v>472</v>
      </c>
    </row>
    <row r="102" ht="12.75">
      <c r="B102" s="121"/>
    </row>
    <row r="103" spans="6:11" ht="12.75">
      <c r="F103" t="s">
        <v>275</v>
      </c>
      <c r="H103" t="s">
        <v>212</v>
      </c>
      <c r="K103" t="s">
        <v>213</v>
      </c>
    </row>
    <row r="104" spans="6:11" ht="12.75">
      <c r="F104" s="117" t="s">
        <v>464</v>
      </c>
      <c r="G104" s="117"/>
      <c r="H104" s="117"/>
      <c r="I104" s="117" t="s">
        <v>464</v>
      </c>
      <c r="J104" s="117"/>
      <c r="K104" s="117" t="s">
        <v>464</v>
      </c>
    </row>
    <row r="105" spans="3:11" s="123" customFormat="1" ht="12.75">
      <c r="C105" s="123" t="s">
        <v>209</v>
      </c>
      <c r="F105" s="385">
        <f>'Con P&amp;L'!G53</f>
        <v>0</v>
      </c>
      <c r="I105" s="421">
        <f>'Con P&amp;L'!H53/1000</f>
        <v>-4769.18248</v>
      </c>
      <c r="J105" s="419"/>
      <c r="K105" s="421">
        <f>'Con B&amp;S'!B91/1000</f>
        <v>250652.673</v>
      </c>
    </row>
    <row r="106" spans="3:11" s="123" customFormat="1" ht="12.75">
      <c r="C106" s="123" t="s">
        <v>214</v>
      </c>
      <c r="F106" s="385">
        <f>'Con P&amp;L'!G54/1000</f>
        <v>4056.508</v>
      </c>
      <c r="I106" s="421">
        <f>'Con P&amp;L'!H54/1000</f>
        <v>-13864.633798000008</v>
      </c>
      <c r="J106" s="419"/>
      <c r="K106" s="421">
        <f>'Con B&amp;S'!B92/1000</f>
        <v>336098.393128</v>
      </c>
    </row>
    <row r="107" spans="3:11" s="123" customFormat="1" ht="12.75">
      <c r="C107" s="123" t="s">
        <v>210</v>
      </c>
      <c r="F107" s="385">
        <f>'Con P&amp;L'!G55/1000</f>
        <v>2527.901</v>
      </c>
      <c r="I107" s="421">
        <f>'Con P&amp;L'!H55/1000</f>
        <v>269.157</v>
      </c>
      <c r="J107" s="419"/>
      <c r="K107" s="421">
        <f>'Con B&amp;S'!B93/1000</f>
        <v>3777.839</v>
      </c>
    </row>
    <row r="108" spans="3:11" s="123" customFormat="1" ht="12.75">
      <c r="C108" s="123" t="s">
        <v>211</v>
      </c>
      <c r="F108" s="385">
        <f>'Con P&amp;L'!G56/1000</f>
        <v>555.104</v>
      </c>
      <c r="I108" s="421">
        <f>'Con P&amp;L'!H56/1000</f>
        <v>363.443</v>
      </c>
      <c r="J108" s="419"/>
      <c r="K108" s="421">
        <f>'Con B&amp;S'!B94/1000</f>
        <v>18202.983</v>
      </c>
    </row>
    <row r="109" spans="3:11" s="123" customFormat="1" ht="12.75">
      <c r="C109" s="123" t="s">
        <v>188</v>
      </c>
      <c r="F109" s="385">
        <f>'Con P&amp;L'!G57/1000</f>
        <v>1973.72612</v>
      </c>
      <c r="I109" s="421">
        <f>'Con P&amp;L'!H57/1000</f>
        <v>-216.64744</v>
      </c>
      <c r="J109" s="419"/>
      <c r="K109" s="421">
        <f>'Con B&amp;S'!B95/1000</f>
        <v>1547.83149</v>
      </c>
    </row>
    <row r="110" spans="6:11" ht="12.75">
      <c r="F110" s="416">
        <f>SUM(F105:F109)</f>
        <v>9113.23912</v>
      </c>
      <c r="I110" s="422">
        <f>SUM(I105:I109)</f>
        <v>-18217.86371800001</v>
      </c>
      <c r="J110" s="419"/>
      <c r="K110" s="422">
        <f>SUM(K105:K109)</f>
        <v>610279.7196180001</v>
      </c>
    </row>
    <row r="112" spans="1:2" s="123" customFormat="1" ht="12.75">
      <c r="A112" s="123">
        <v>17</v>
      </c>
      <c r="B112" s="396" t="s">
        <v>120</v>
      </c>
    </row>
    <row r="113" s="123" customFormat="1" ht="12.75">
      <c r="B113" s="432" t="s">
        <v>427</v>
      </c>
    </row>
    <row r="115" spans="1:2" s="123" customFormat="1" ht="12.75">
      <c r="A115" s="123">
        <v>18</v>
      </c>
      <c r="B115" s="396" t="s">
        <v>215</v>
      </c>
    </row>
    <row r="116" s="123" customFormat="1" ht="12.75">
      <c r="B116" s="123" t="s">
        <v>113</v>
      </c>
    </row>
    <row r="117" s="123" customFormat="1" ht="12.75">
      <c r="B117" s="123" t="s">
        <v>114</v>
      </c>
    </row>
    <row r="119" spans="1:2" s="123" customFormat="1" ht="12.75">
      <c r="A119" s="123">
        <v>19</v>
      </c>
      <c r="B119" s="396" t="s">
        <v>216</v>
      </c>
    </row>
    <row r="120" s="123" customFormat="1" ht="12.75">
      <c r="B120" t="s">
        <v>121</v>
      </c>
    </row>
    <row r="121" ht="12.75">
      <c r="B121" s="123" t="s">
        <v>469</v>
      </c>
    </row>
    <row r="122" ht="12.75">
      <c r="B122" s="123"/>
    </row>
    <row r="123" spans="1:2" ht="12.75">
      <c r="A123">
        <v>20</v>
      </c>
      <c r="B123" s="121" t="s">
        <v>100</v>
      </c>
    </row>
    <row r="124" ht="12.75">
      <c r="B124" t="s">
        <v>115</v>
      </c>
    </row>
    <row r="126" spans="1:2" ht="12.75">
      <c r="A126">
        <v>21</v>
      </c>
      <c r="B126" s="121" t="s">
        <v>116</v>
      </c>
    </row>
    <row r="127" ht="12.75">
      <c r="B127" t="s">
        <v>117</v>
      </c>
    </row>
    <row r="129" ht="12.75">
      <c r="B129" s="121"/>
    </row>
  </sheetData>
  <printOptions/>
  <pageMargins left="0.75" right="0.75" top="1" bottom="1" header="0.5" footer="0.5"/>
  <pageSetup fitToHeight="2" fitToWidth="1" horizontalDpi="600" verticalDpi="600" orientation="portrait" paperSize="9" scale="76" r:id="rId1"/>
  <rowBreaks count="1" manualBreakCount="1">
    <brk id="1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 AMALGAMATED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AUSTRAL </dc:creator>
  <cp:keywords/>
  <dc:description/>
  <cp:lastModifiedBy>aasetup95</cp:lastModifiedBy>
  <cp:lastPrinted>2000-08-30T15:03:07Z</cp:lastPrinted>
  <dcterms:created xsi:type="dcterms:W3CDTF">1998-09-23T07:08:42Z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